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78bf6162e38e434/Documentos/"/>
    </mc:Choice>
  </mc:AlternateContent>
  <xr:revisionPtr revIDLastSave="0" documentId="8_{87C6EB42-0D3D-4000-A740-AAA2E0D6B3A7}" xr6:coauthVersionLast="47" xr6:coauthVersionMax="47" xr10:uidLastSave="{00000000-0000-0000-0000-000000000000}"/>
  <bookViews>
    <workbookView xWindow="-120" yWindow="-120" windowWidth="20730" windowHeight="11040" firstSheet="3" activeTab="5" xr2:uid="{18E2A1AE-1AC2-4BDF-94DB-F0473AA94A9A}"/>
  </bookViews>
  <sheets>
    <sheet name="ESTANDARIZACION DE RECETAS" sheetId="17" r:id="rId1"/>
    <sheet name="Hoja1" sheetId="19" r:id="rId2"/>
    <sheet name="ESTANDARIZACION COMPLEMENTARIA" sheetId="18" r:id="rId3"/>
    <sheet name="ESTANDARIZACION" sheetId="13" r:id="rId4"/>
    <sheet name="COSTOS POTENCIALES" sheetId="14" r:id="rId5"/>
    <sheet name="ESTADO DE RESULTADO" sheetId="1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4" l="1"/>
  <c r="G24" i="15"/>
  <c r="G23" i="15"/>
  <c r="G22" i="15"/>
  <c r="G11" i="15"/>
  <c r="F12" i="15"/>
  <c r="F11" i="15"/>
  <c r="G9" i="15"/>
  <c r="C41" i="15"/>
  <c r="C37" i="15"/>
  <c r="C36" i="15"/>
  <c r="B36" i="15"/>
  <c r="D4" i="15"/>
  <c r="C34" i="15"/>
  <c r="C32" i="15"/>
  <c r="C14" i="15"/>
  <c r="D10" i="15"/>
  <c r="D8" i="15"/>
  <c r="J8" i="14"/>
  <c r="F15" i="14"/>
  <c r="F14" i="14"/>
  <c r="F13" i="14"/>
  <c r="F12" i="14"/>
  <c r="F11" i="14"/>
  <c r="F10" i="14"/>
  <c r="F9" i="14"/>
  <c r="F8" i="14"/>
  <c r="F7" i="14"/>
  <c r="F6" i="14"/>
  <c r="F5" i="14"/>
  <c r="L24" i="13"/>
  <c r="L29" i="13"/>
  <c r="K31" i="13"/>
  <c r="J31" i="13"/>
  <c r="J30" i="13"/>
  <c r="K29" i="13"/>
  <c r="J29" i="13"/>
  <c r="J28" i="13"/>
  <c r="J26" i="13"/>
  <c r="J25" i="13"/>
  <c r="F23" i="13"/>
  <c r="E23" i="13"/>
  <c r="E22" i="13"/>
  <c r="E20" i="13"/>
  <c r="J24" i="13"/>
  <c r="J14" i="13"/>
  <c r="J27" i="18"/>
  <c r="B16" i="13"/>
  <c r="K23" i="18"/>
  <c r="I15" i="18"/>
  <c r="I8" i="18"/>
  <c r="J16" i="18"/>
  <c r="J17" i="18" s="1"/>
  <c r="J19" i="18"/>
  <c r="B20" i="18"/>
  <c r="A20" i="18"/>
  <c r="H17" i="13"/>
  <c r="J17" i="13" s="1"/>
  <c r="H16" i="13"/>
  <c r="J16" i="13" s="1"/>
  <c r="H14" i="13"/>
  <c r="H13" i="13"/>
  <c r="J13" i="13" s="1"/>
  <c r="H12" i="13"/>
  <c r="J12" i="13" s="1"/>
  <c r="H11" i="13"/>
  <c r="J11" i="13" s="1"/>
  <c r="G15" i="13"/>
  <c r="H15" i="13" s="1"/>
  <c r="J15" i="13" s="1"/>
  <c r="G13" i="13"/>
  <c r="G11" i="13"/>
  <c r="G47" i="13"/>
  <c r="F43" i="13"/>
  <c r="K20" i="18"/>
  <c r="E13" i="18"/>
  <c r="E14" i="18" s="1"/>
  <c r="H12" i="18"/>
  <c r="H11" i="18"/>
  <c r="H10" i="18"/>
  <c r="H9" i="18"/>
  <c r="H8" i="18"/>
  <c r="H15" i="18" s="1"/>
  <c r="K13" i="18"/>
  <c r="K9" i="18"/>
  <c r="K20" i="17"/>
  <c r="J20" i="17"/>
  <c r="I20" i="17"/>
  <c r="H20" i="17"/>
  <c r="G20" i="17"/>
  <c r="L20" i="19"/>
  <c r="I20" i="19"/>
  <c r="K20" i="19" s="1"/>
  <c r="L19" i="19"/>
  <c r="K19" i="19"/>
  <c r="J19" i="19"/>
  <c r="L18" i="19"/>
  <c r="K18" i="19"/>
  <c r="J18" i="19"/>
  <c r="L17" i="19"/>
  <c r="K17" i="19"/>
  <c r="J17" i="19"/>
  <c r="L16" i="19"/>
  <c r="K16" i="19"/>
  <c r="J16" i="19"/>
  <c r="L15" i="19"/>
  <c r="K15" i="19"/>
  <c r="J15" i="19"/>
  <c r="H14" i="19"/>
  <c r="L14" i="19" s="1"/>
  <c r="L13" i="19"/>
  <c r="K13" i="19"/>
  <c r="J13" i="19"/>
  <c r="I18" i="17"/>
  <c r="J18" i="17"/>
  <c r="K18" i="17"/>
  <c r="K15" i="17"/>
  <c r="K16" i="17"/>
  <c r="K17" i="17"/>
  <c r="K19" i="17"/>
  <c r="K13" i="17"/>
  <c r="J15" i="17"/>
  <c r="J16" i="17"/>
  <c r="J17" i="17"/>
  <c r="J19" i="17"/>
  <c r="J13" i="17"/>
  <c r="I14" i="17"/>
  <c r="I15" i="17"/>
  <c r="I16" i="17"/>
  <c r="I17" i="17"/>
  <c r="I19" i="17"/>
  <c r="I13" i="17"/>
  <c r="G14" i="17"/>
  <c r="J14" i="17" s="1"/>
  <c r="K14" i="19" l="1"/>
  <c r="J14" i="19"/>
  <c r="J20" i="19"/>
  <c r="K14" i="17"/>
</calcChain>
</file>

<file path=xl/sharedStrings.xml><?xml version="1.0" encoding="utf-8"?>
<sst xmlns="http://schemas.openxmlformats.org/spreadsheetml/2006/main" count="395" uniqueCount="267">
  <si>
    <t>CLAVE</t>
  </si>
  <si>
    <t>UNIDAD</t>
  </si>
  <si>
    <t>PRODUCTO</t>
  </si>
  <si>
    <t>AUTORIZO</t>
  </si>
  <si>
    <t>CERVEZA</t>
  </si>
  <si>
    <t>COMPRA ACUMULADA</t>
  </si>
  <si>
    <t>CANTIDAD</t>
  </si>
  <si>
    <t>IMPORTE</t>
  </si>
  <si>
    <t>PRESENTACION</t>
  </si>
  <si>
    <t>REFRESCO</t>
  </si>
  <si>
    <t>GR</t>
  </si>
  <si>
    <t>HARINA</t>
  </si>
  <si>
    <t>ESTANDARIZACIÓN DE RECETA</t>
  </si>
  <si>
    <t>INGREDIENTES</t>
  </si>
  <si>
    <t>UM</t>
  </si>
  <si>
    <t>CANTIDAD AJUSTADA =(CANTIDAD) (FR)</t>
  </si>
  <si>
    <t>COSTO UNITARIO (LT/ KG)</t>
  </si>
  <si>
    <t>C U= (1000) (PRECIO DE PRODUCTO)/ CONTENIDO DE PRODUCTO</t>
  </si>
  <si>
    <t>IMPORTE= (CANTIDAD AJUSTADA) (COSTO UNITARIO) / 1000</t>
  </si>
  <si>
    <t>PVS= TOTAL DE COSTO (100)/ %MP</t>
  </si>
  <si>
    <t>PVF= PVS + IVA</t>
  </si>
  <si>
    <t>PROCESO DE ELABORACION</t>
  </si>
  <si>
    <t>TOTAL DE MATERIA PRIMA</t>
  </si>
  <si>
    <t>TOTAL DE COSTOS</t>
  </si>
  <si>
    <t>PRECIO DE VENTA SUGERIDO</t>
  </si>
  <si>
    <t>IVA (16%)</t>
  </si>
  <si>
    <t>PRECIO DE VENTA FINAL</t>
  </si>
  <si>
    <t>DELIVERY (18%)</t>
  </si>
  <si>
    <t>PVS DELIVERY</t>
  </si>
  <si>
    <t>ELABORO</t>
  </si>
  <si>
    <t>CHEF EJECUTIVO</t>
  </si>
  <si>
    <t>CHEFS DESARROLLADORES</t>
  </si>
  <si>
    <t>TABLA DE PORCENTAJE DE COSTOS POTENCIALES</t>
  </si>
  <si>
    <t>Restaurante: BARRIO FINO PIZZA</t>
  </si>
  <si>
    <t>Fecha:</t>
  </si>
  <si>
    <t>Familia o tiempo</t>
  </si>
  <si>
    <t>Platillo</t>
  </si>
  <si>
    <t>Precio de venta</t>
  </si>
  <si>
    <t>Costo de MP</t>
  </si>
  <si>
    <t>Porcentaje MP</t>
  </si>
  <si>
    <t xml:space="preserve">Porcentaje costo familia </t>
  </si>
  <si>
    <t>Porcentaje de costo global</t>
  </si>
  <si>
    <t>CARNES</t>
  </si>
  <si>
    <t>PESCADO</t>
  </si>
  <si>
    <t>ENSALADAS</t>
  </si>
  <si>
    <t xml:space="preserve">Elaboró Supervisó </t>
  </si>
  <si>
    <t>TABLA DE RANGOS PARA COSTEO DE ALIMENTOS</t>
  </si>
  <si>
    <t>COCTELES</t>
  </si>
  <si>
    <t>25 - 30 %</t>
  </si>
  <si>
    <t>SOPAS</t>
  </si>
  <si>
    <t>10 - 15 %</t>
  </si>
  <si>
    <t>15 - 20 %</t>
  </si>
  <si>
    <t>PASTAS</t>
  </si>
  <si>
    <t>SANDWICHES</t>
  </si>
  <si>
    <t>23 - 28 %</t>
  </si>
  <si>
    <t>ANTOJITOS</t>
  </si>
  <si>
    <t>AVES</t>
  </si>
  <si>
    <t>30 - 35 %</t>
  </si>
  <si>
    <t>35 - 40 %</t>
  </si>
  <si>
    <t>MARISCOS</t>
  </si>
  <si>
    <t>36 - 41 %</t>
  </si>
  <si>
    <t>POSTRES (HECHO EN CASA)</t>
  </si>
  <si>
    <t>20 - 30 %</t>
  </si>
  <si>
    <t>PASTEL (COMPRADO)</t>
  </si>
  <si>
    <t>40 - 45 %</t>
  </si>
  <si>
    <t>BEBIDAS CALIENTES</t>
  </si>
  <si>
    <t>BEBIDAS FRÍAS</t>
  </si>
  <si>
    <t>11 - 16 %</t>
  </si>
  <si>
    <t>VINO</t>
  </si>
  <si>
    <t>20 - 25 %</t>
  </si>
  <si>
    <t>LICOR NACIONAL</t>
  </si>
  <si>
    <t>16 - 20 %</t>
  </si>
  <si>
    <t>LICOR IMPORTADO</t>
  </si>
  <si>
    <t>COCTELERÍA</t>
  </si>
  <si>
    <t>14 - 20 %</t>
  </si>
  <si>
    <t>PROYECCION MENSUAL DE VENTA</t>
  </si>
  <si>
    <t>PRESUPUESTOS</t>
  </si>
  <si>
    <t>COSTO=</t>
  </si>
  <si>
    <t>COMPRA ACUMULADA/VENTA ACUMULADA (100)</t>
  </si>
  <si>
    <t>VENTA ACUMULADA</t>
  </si>
  <si>
    <t>COSTO</t>
  </si>
  <si>
    <t>CRECIMIENTO DEL 5%</t>
  </si>
  <si>
    <t>PRESUPUESTO DE INGRESOS:</t>
  </si>
  <si>
    <t>PRESUPUESTO FIJO DE VENTAS</t>
  </si>
  <si>
    <t>PRESUPUESTO VARIABLE (10%):</t>
  </si>
  <si>
    <t>DIARIO</t>
  </si>
  <si>
    <t>PUNTO DE EQUILIBRIO</t>
  </si>
  <si>
    <t>PRESUPUESTO DE GASTOS FIJOS:</t>
  </si>
  <si>
    <t>PUNTO DE EQUILIBRIO EN CLIENTES</t>
  </si>
  <si>
    <t>PRESUPUESTO DE UTILIDADES:</t>
  </si>
  <si>
    <t>HARINA 380 GR</t>
  </si>
  <si>
    <t>MANTEQUILLA 220 GR</t>
  </si>
  <si>
    <t>HUEVO 120 GR</t>
  </si>
  <si>
    <t>AZUCAR 340 GR</t>
  </si>
  <si>
    <t>VAINILLA 5 ML</t>
  </si>
  <si>
    <t>GALLETAS DE PLATANO</t>
  </si>
  <si>
    <t>PLATANO MACHO 200 GR</t>
  </si>
  <si>
    <t>PESO INICIAL</t>
  </si>
  <si>
    <t>PESO FINAL</t>
  </si>
  <si>
    <t>PESO MERMA</t>
  </si>
  <si>
    <t>% MERMA</t>
  </si>
  <si>
    <t>PORCENTAJE DE RENDIMIENTO</t>
  </si>
  <si>
    <t>MANTEQUILLA</t>
  </si>
  <si>
    <t>VAINILLA</t>
  </si>
  <si>
    <t>PLATANO MACHO</t>
  </si>
  <si>
    <t>% IMPREVISTOS =(10% DE TMP)</t>
  </si>
  <si>
    <t xml:space="preserve">LUZ-  </t>
  </si>
  <si>
    <t xml:space="preserve">AGUA- </t>
  </si>
  <si>
    <t xml:space="preserve">GAS- </t>
  </si>
  <si>
    <t xml:space="preserve">INTERNET- </t>
  </si>
  <si>
    <t xml:space="preserve">FUMIGACION- </t>
  </si>
  <si>
    <t>RENTA:</t>
  </si>
  <si>
    <t xml:space="preserve">SERVICIO DE BASURA- </t>
  </si>
  <si>
    <t xml:space="preserve">TOTAL SERVICIOS= </t>
  </si>
  <si>
    <t xml:space="preserve">NOMINAS: </t>
  </si>
  <si>
    <t>PRESUPUESTO DE GASTOS DE CAPITAL (5%):</t>
  </si>
  <si>
    <t>PRESUPUESTO DE EFECTIVO (20% DEL COSTO):</t>
  </si>
  <si>
    <t>MENSUAL</t>
  </si>
  <si>
    <t>COSTO: ----------&gt;&gt;&gt;&gt;&gt;</t>
  </si>
  <si>
    <t xml:space="preserve">NIVEL DE VENTA DEL AÑO PASADO+5%               </t>
  </si>
  <si>
    <t xml:space="preserve">SERVICIOS+ALQUILER+NOMINAS                        </t>
  </si>
  <si>
    <t>RECETA DE PRESENTACION</t>
  </si>
  <si>
    <t>X2</t>
  </si>
  <si>
    <t>X5</t>
  </si>
  <si>
    <t>X10</t>
  </si>
  <si>
    <t>AZUCAR MOSCABADO</t>
  </si>
  <si>
    <t>QUIEN REALIZO (CHEF ALEJANDRO CASILLAS)</t>
  </si>
  <si>
    <t>QUIEN AUTORIZO (ALBERTO RUGERIO DUEÑO)</t>
  </si>
  <si>
    <t>RECETA COMPLEMENTARIA</t>
  </si>
  <si>
    <t>INGREDIENTE</t>
  </si>
  <si>
    <t>SUMA</t>
  </si>
  <si>
    <t>UNIDAD DE PRODUCCION</t>
  </si>
  <si>
    <t>COSTO DE LA PRODUCCION</t>
  </si>
  <si>
    <t>COSTO DE UNIDAD DE PRODUCCION</t>
  </si>
  <si>
    <t>FIRMA DE QUIEN AUTORIZO</t>
  </si>
  <si>
    <t>FIRMA DE QUIEN REALIZO</t>
  </si>
  <si>
    <t>FOTOGRAFIA</t>
  </si>
  <si>
    <t>METODO DE ELABORACION</t>
  </si>
  <si>
    <t>TAZA</t>
  </si>
  <si>
    <t>TAZAS</t>
  </si>
  <si>
    <t>CUCHARADAS</t>
  </si>
  <si>
    <t>PIEZA</t>
  </si>
  <si>
    <t>MERMELADA</t>
  </si>
  <si>
    <t>RESTAURANTE: BARRIO FINO PIZZA</t>
  </si>
  <si>
    <t>FECHA: 08/11/23</t>
  </si>
  <si>
    <t>TIEMPO DE PREPARACION: 45 MINUTOS</t>
  </si>
  <si>
    <t>UTENSILIOS: 2 BOWLS, 1 GLOBNO, 1 CHAROLA, 1 BROCHA, 1 BASCULA Y 1 CORTADOR</t>
  </si>
  <si>
    <t>FOLIO DE RECETA: 24</t>
  </si>
  <si>
    <t>PLATILLO: GALLETAS DE PLATANO</t>
  </si>
  <si>
    <t>TIEMPO DE HORNEADO: 12 MINUTOS A 160°C</t>
  </si>
  <si>
    <t>mantequilla</t>
  </si>
  <si>
    <t>azucar moscado</t>
  </si>
  <si>
    <t>vainilla</t>
  </si>
  <si>
    <t>platano macho</t>
  </si>
  <si>
    <t>mermelada</t>
  </si>
  <si>
    <t>N.A</t>
  </si>
  <si>
    <t>KG</t>
  </si>
  <si>
    <t>L</t>
  </si>
  <si>
    <t>PUNTO</t>
  </si>
  <si>
    <t>CENTENAS</t>
  </si>
  <si>
    <t>DECENAS</t>
  </si>
  <si>
    <t>UNIDADES</t>
  </si>
  <si>
    <t>25 GRAMOS (.025 KG)</t>
  </si>
  <si>
    <t>1.32 KG</t>
  </si>
  <si>
    <t>PROCESO DE ELABORACION O PROCEDIMIENTO</t>
  </si>
  <si>
    <t>1.PESAR INSUMOS</t>
  </si>
  <si>
    <t>2. CORTAR EL PLATANO MACHO EN RODAJAS Y HORNEAR A 180°c POR 10 MINUTOS</t>
  </si>
  <si>
    <t>3. ACREMAR MANTEQUILLA EN BATIDORA USANDO GLOBO A VELOCIDAD MEDIA POR 4 MINUTOS</t>
  </si>
  <si>
    <t>4. AÑADIR DE UN SOLO GOLPE EL AZUCAR MOSCABADO Y CONTINUAR BATIENDO POR 3 MINUTOS MAS</t>
  </si>
  <si>
    <t>5. AGREGAR EL HUEVO (CLARA Y YEMA), CONTINUAR BATIENDO HASTA EMULSIONAR COMPLETAMENTE POR 3 MINUTOS MAS</t>
  </si>
  <si>
    <t>6. AÑADIR VAINILLA Y EL PLTANO MACHO MOLIDO (PURE), TRABAJAR SOLO PARA MEZCLAR O INTEGRAR</t>
  </si>
  <si>
    <t>7. AGREGAR HARINA CERNIDA Y AMASAR HASTA FORMAR UNA MASA TERSA Y SUAVE</t>
  </si>
  <si>
    <t>8, FORJAR GALLETAS DE 25 GRAMOS CADA UNA COLOCANDO SOBRE UN ACHAROLA CON TAPETE DE SILICON</t>
  </si>
  <si>
    <t xml:space="preserve">9. HORNEAR A 180°c POR 12 MINUTOS, TRANSCURRIDO EL TIEMPO RETIRAR DEL HORNO, ENFRIAR </t>
  </si>
  <si>
    <t>10. RELLENAR LA GALLETA EN EL CENTRO CON MERMELADA (4 GRAMOS DE MERMELADA)</t>
  </si>
  <si>
    <t>FIRMA</t>
  </si>
  <si>
    <t>harina de trigo</t>
  </si>
  <si>
    <t>HUEVO</t>
  </si>
  <si>
    <t>PZ</t>
  </si>
  <si>
    <t>huevo</t>
  </si>
  <si>
    <t>kg</t>
  </si>
  <si>
    <t>FOLIO: 24.1</t>
  </si>
  <si>
    <t>NOMBRE DE LA RECETA: mermelada de durazno</t>
  </si>
  <si>
    <t>durazno</t>
  </si>
  <si>
    <t>azucar refinada</t>
  </si>
  <si>
    <t>acido citrico</t>
  </si>
  <si>
    <t>canela en rama</t>
  </si>
  <si>
    <t>anis estrella</t>
  </si>
  <si>
    <t>PRECIO UNITARIO (L/KG)</t>
  </si>
  <si>
    <t>220 GR $23</t>
  </si>
  <si>
    <t>700 GR $97</t>
  </si>
  <si>
    <t>100 GR  $12</t>
  </si>
  <si>
    <t>.200 KG</t>
  </si>
  <si>
    <t>KG DE MERMELADA</t>
  </si>
  <si>
    <t>LAVAR Y PELAR LOS DURAZNOS</t>
  </si>
  <si>
    <t>CORTAR EN GAJOS Y PESAR SIN MERMA</t>
  </si>
  <si>
    <t>COLOCAR EN UNA OLLA CON AZUCAR, ACIDO CITRICO, CANELA EN RAMA Y ANIS</t>
  </si>
  <si>
    <t>LLEVAR A FUEGO MEDIO Y COCER POR 20 MINUTOS</t>
  </si>
  <si>
    <t>APAGAR Y REPOSAR HASTA LLEGAR A 40°c</t>
  </si>
  <si>
    <t>RETIRAR LA CANELA Y EL ANIS</t>
  </si>
  <si>
    <t>CONSERVAR EN UN TRASTE SELLADO HERMETICAMENTE Y REFRIGERAR</t>
  </si>
  <si>
    <t>FR=PESO INICIAL/PESO FINAL</t>
  </si>
  <si>
    <t>120 GR</t>
  </si>
  <si>
    <t>350 GR</t>
  </si>
  <si>
    <t>1.8 KG- $70-------------MERMA 18%</t>
  </si>
  <si>
    <t>1 KG- $13.00------------MERMA 0%</t>
  </si>
  <si>
    <t>1.780 - $315.00--------MERMA 0%</t>
  </si>
  <si>
    <t>1 KG- $28.00-----------MERMA 0%</t>
  </si>
  <si>
    <t>1 L -$84-----------------MERMA 0%</t>
  </si>
  <si>
    <t>1 KG- 35.00 -----------MERMA 35%</t>
  </si>
  <si>
    <t>FECHA: 09/11/23</t>
  </si>
  <si>
    <t>FOLIO: 24</t>
  </si>
  <si>
    <t>ESTANDARIZACIÓN DE RECETA CON FACTOR DE RENDIMIENTO</t>
  </si>
  <si>
    <t>MERMELADA DE DURAZNO</t>
  </si>
  <si>
    <t>N.A.</t>
  </si>
  <si>
    <t>FACTOR DE RENDIMIENTO     FR= PI/ PF</t>
  </si>
  <si>
    <t>ESENCIA DE VAINILLA</t>
  </si>
  <si>
    <t>PESO INI</t>
  </si>
  <si>
    <t>FR</t>
  </si>
  <si>
    <t>CANTIDAD AJUS</t>
  </si>
  <si>
    <t>IMPORTE CA</t>
  </si>
  <si>
    <t>GALLETA</t>
  </si>
  <si>
    <t>GALLETA COCIDA</t>
  </si>
  <si>
    <t>TOTAL 1.402</t>
  </si>
  <si>
    <t>TOTAL DE GALLETAS</t>
  </si>
  <si>
    <t>TOTAL DE ORDENES</t>
  </si>
  <si>
    <t>GRAMAJE POR PORCION:  .175 KG         25 GR POR GALLETA</t>
  </si>
  <si>
    <t>RENDIMIENTO: 1.402 KG (8.01 PORCIONES DE 7 GALLETAS C/U)</t>
  </si>
  <si>
    <t>%MP: 30%</t>
  </si>
  <si>
    <r>
      <rPr>
        <b/>
        <sz val="18"/>
        <color rgb="FFFF0000"/>
        <rFont val="Calibri"/>
        <family val="2"/>
        <scheme val="minor"/>
      </rPr>
      <t>COSTO DE VENTA POR PORCION:</t>
    </r>
    <r>
      <rPr>
        <sz val="18"/>
        <color theme="1"/>
        <rFont val="Calibri"/>
        <family val="2"/>
        <scheme val="minor"/>
      </rPr>
      <t xml:space="preserve"> $43.80</t>
    </r>
    <r>
      <rPr>
        <b/>
        <sz val="18"/>
        <color theme="1"/>
        <rFont val="Calibri"/>
        <family val="2"/>
        <scheme val="minor"/>
      </rPr>
      <t xml:space="preserve">   </t>
    </r>
    <r>
      <rPr>
        <sz val="18"/>
        <color theme="1"/>
        <rFont val="Calibri"/>
        <family val="2"/>
        <scheme val="minor"/>
      </rPr>
      <t xml:space="preserve">      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8"/>
        <color rgb="FF002060"/>
        <rFont val="Calibri"/>
        <family val="2"/>
        <scheme val="minor"/>
      </rPr>
      <t>COSTO DE VENTA POR PORCION DELIVERY:</t>
    </r>
    <r>
      <rPr>
        <sz val="18"/>
        <color theme="1"/>
        <rFont val="Calibri"/>
        <family val="2"/>
        <scheme val="minor"/>
      </rPr>
      <t xml:space="preserve"> $51.69</t>
    </r>
  </si>
  <si>
    <t>FLAN</t>
  </si>
  <si>
    <t>CREPAS DE QUESO Y DULCE</t>
  </si>
  <si>
    <t>HAMBURGUESA SENCILLA</t>
  </si>
  <si>
    <t>CHAPATA DE 3 QUESOS</t>
  </si>
  <si>
    <t>TISANA DE FRUTOS ROJOS</t>
  </si>
  <si>
    <t>CHAI LATTE</t>
  </si>
  <si>
    <t>SODA ITALIANA</t>
  </si>
  <si>
    <t>DEDOS DE QUESO</t>
  </si>
  <si>
    <t>NACHOS</t>
  </si>
  <si>
    <t>POSTRES HECHOS EN CASA</t>
  </si>
  <si>
    <t>250 GR DE CARNE</t>
  </si>
  <si>
    <t>BEBIDAS FRIAS</t>
  </si>
  <si>
    <t>LIMONADA</t>
  </si>
  <si>
    <t>BEBIDA CALIENTE</t>
  </si>
  <si>
    <t>BEBIDA FRIA</t>
  </si>
  <si>
    <r>
      <t xml:space="preserve">NIVEL DE VENTA DEL AÑO PASADO            </t>
    </r>
    <r>
      <rPr>
        <b/>
        <sz val="18"/>
        <color theme="1"/>
        <rFont val="Calibri"/>
        <family val="2"/>
        <scheme val="minor"/>
      </rPr>
      <t xml:space="preserve">   ($198,537)          </t>
    </r>
  </si>
  <si>
    <t>NOVIEMBRE 2022---&gt; $198,537</t>
  </si>
  <si>
    <t>NOVIEMBRE 2023----&gt;208463.85</t>
  </si>
  <si>
    <r>
      <t xml:space="preserve">AHORRO RETIRADO DE LA VENTA MENSUAL         </t>
    </r>
    <r>
      <rPr>
        <b/>
        <sz val="16"/>
        <color theme="1"/>
        <rFont val="Calibri"/>
        <family val="2"/>
        <scheme val="minor"/>
      </rPr>
      <t>($10,423.19)</t>
    </r>
  </si>
  <si>
    <r>
      <t xml:space="preserve">COLCHON DESTINADO A VARIABILIDADES POR ALTA DE PRECIOS O GASTOS INESPERADOS  </t>
    </r>
    <r>
      <rPr>
        <b/>
        <sz val="20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($20,846)</t>
    </r>
    <r>
      <rPr>
        <b/>
        <sz val="20"/>
        <color theme="1"/>
        <rFont val="Calibri"/>
        <family val="2"/>
        <scheme val="minor"/>
      </rPr>
      <t xml:space="preserve">  </t>
    </r>
    <r>
      <rPr>
        <b/>
        <sz val="16"/>
        <color theme="1"/>
        <rFont val="Calibri"/>
        <family val="2"/>
        <scheme val="minor"/>
      </rPr>
      <t xml:space="preserve">    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</t>
    </r>
  </si>
  <si>
    <t xml:space="preserve">ES EL MONTO DISPONIBLE EN EFECTIVO QUE TENDREMOS DEL COSTO (INSUMOS)                          ($9589.34)                                                     </t>
  </si>
  <si>
    <t xml:space="preserve">DESIGNA RECURSOS ECONOMICOS A CADA AREA INCLUYENDO EMBALAJES            ($8,000)                                            </t>
  </si>
  <si>
    <t>PRESUSPUESTO TRADICIONAL (4%):</t>
  </si>
  <si>
    <t>10,000+6500+7500=$24000</t>
  </si>
  <si>
    <t>TARJETA: 93808.73</t>
  </si>
  <si>
    <t>UTILIDAD NETO LIBRE DE IMPUESTOS</t>
  </si>
  <si>
    <t>MONTO QUE REPRESNTA EL 16% DE VT</t>
  </si>
  <si>
    <t>INVENTARIO $1900</t>
  </si>
  <si>
    <t>GASTOS=  31690</t>
  </si>
  <si>
    <t>COSTO=  47946.69</t>
  </si>
  <si>
    <t>VENTA= 208463.85</t>
  </si>
  <si>
    <t>PE=1056.33/1-(1598.22/6948.80)</t>
  </si>
  <si>
    <t>PE=1056.33 /1- .22</t>
  </si>
  <si>
    <r>
      <t>PE=1056.33/.78=</t>
    </r>
    <r>
      <rPr>
        <sz val="26"/>
        <color theme="1"/>
        <rFont val="Calibri"/>
        <family val="2"/>
        <scheme val="minor"/>
      </rPr>
      <t>1354.26</t>
    </r>
  </si>
  <si>
    <r>
      <t>CONSUMO PROMEDIO MINIMO DEL CLIENTE=</t>
    </r>
    <r>
      <rPr>
        <sz val="24"/>
        <color theme="1"/>
        <rFont val="Calibri"/>
        <family val="2"/>
        <scheme val="minor"/>
      </rPr>
      <t xml:space="preserve"> 158.8</t>
    </r>
  </si>
  <si>
    <t>PE CLIENTES= 1354.26/158.8=  8.5</t>
  </si>
  <si>
    <t>23 % DE 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</si>
</sst>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Tahoma"/>
      <family val="2"/>
    </font>
    <font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4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2"/>
      <color theme="0"/>
      <name val="Aharoni"/>
    </font>
    <font>
      <b/>
      <sz val="20"/>
      <color rgb="FFFFC000"/>
      <name val="Calibri"/>
      <family val="2"/>
      <scheme val="minor"/>
    </font>
    <font>
      <sz val="22"/>
      <color theme="1"/>
      <name val="Aharoni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8"/>
      <color theme="1"/>
      <name val="Aharoni"/>
      <charset val="177"/>
    </font>
    <font>
      <sz val="12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48"/>
      <color theme="0" tint="-4.9989318521683403E-2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rgb="FFFF0000"/>
      <name val="Calibri"/>
      <family val="2"/>
      <scheme val="minor"/>
    </font>
    <font>
      <sz val="17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7"/>
      <color theme="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36"/>
      <color theme="0"/>
      <name val="Aharoni"/>
      <charset val="177"/>
    </font>
    <font>
      <sz val="14"/>
      <color theme="1"/>
      <name val="CordiaUPC"/>
      <family val="2"/>
      <charset val="222"/>
    </font>
    <font>
      <i/>
      <sz val="14"/>
      <color theme="1"/>
      <name val="CordiaUPC"/>
      <family val="2"/>
      <charset val="222"/>
    </font>
    <font>
      <sz val="20"/>
      <color theme="1"/>
      <name val="CordiaUPC"/>
      <family val="2"/>
      <charset val="222"/>
    </font>
    <font>
      <sz val="22"/>
      <color theme="1"/>
      <name val="CordiaUPC"/>
      <family val="2"/>
      <charset val="222"/>
    </font>
    <font>
      <b/>
      <sz val="20"/>
      <color theme="1"/>
      <name val="CordiaUPC"/>
      <family val="2"/>
      <charset val="222"/>
    </font>
    <font>
      <b/>
      <sz val="10"/>
      <color theme="1"/>
      <name val="DokChampa"/>
      <family val="2"/>
      <charset val="222"/>
    </font>
    <font>
      <sz val="14"/>
      <color theme="1"/>
      <name val="Lucida Console"/>
      <family val="3"/>
    </font>
    <font>
      <sz val="14"/>
      <name val="Lucida Console"/>
      <family val="3"/>
    </font>
    <font>
      <b/>
      <sz val="10"/>
      <color theme="0"/>
      <name val="DokChampa"/>
      <family val="2"/>
      <charset val="222"/>
    </font>
    <font>
      <sz val="14"/>
      <color theme="0"/>
      <name val="Lucida Console"/>
      <family val="3"/>
    </font>
    <font>
      <i/>
      <sz val="48"/>
      <color rgb="FFFF0000"/>
      <name val="CordiaUPC"/>
      <family val="2"/>
      <charset val="222"/>
    </font>
    <font>
      <sz val="22"/>
      <color theme="0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sz val="24"/>
      <color rgb="FFFFC000"/>
      <name val="Calibri"/>
      <family val="2"/>
      <scheme val="minor"/>
    </font>
    <font>
      <sz val="20"/>
      <color rgb="FFFFC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24"/>
      <color theme="0"/>
      <name val="Calibri"/>
      <family val="2"/>
      <scheme val="minor"/>
    </font>
    <font>
      <sz val="26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642D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BEBEBE"/>
      </left>
      <right/>
      <top style="medium">
        <color rgb="FFBEBEBE"/>
      </top>
      <bottom style="medium">
        <color rgb="FFBEBEBE"/>
      </bottom>
      <diagonal/>
    </border>
    <border>
      <left/>
      <right style="medium">
        <color rgb="FFBEBEBE"/>
      </right>
      <top style="medium">
        <color rgb="FFBEBEBE"/>
      </top>
      <bottom style="medium">
        <color rgb="FFBEBEBE"/>
      </bottom>
      <diagonal/>
    </border>
    <border>
      <left style="medium">
        <color rgb="FFBEBEBE"/>
      </left>
      <right style="medium">
        <color rgb="FFBEBEBE"/>
      </right>
      <top/>
      <bottom style="medium">
        <color rgb="FFBEBEBE"/>
      </bottom>
      <diagonal/>
    </border>
    <border>
      <left/>
      <right style="medium">
        <color rgb="FFBEBEBE"/>
      </right>
      <top/>
      <bottom style="medium">
        <color rgb="FFBEBEBE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BEBEBE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5">
    <xf numFmtId="0" fontId="0" fillId="0" borderId="0" xfId="0"/>
    <xf numFmtId="0" fontId="0" fillId="0" borderId="1" xfId="0" applyBorder="1"/>
    <xf numFmtId="0" fontId="0" fillId="0" borderId="21" xfId="0" applyBorder="1"/>
    <xf numFmtId="0" fontId="0" fillId="5" borderId="0" xfId="0" applyFill="1"/>
    <xf numFmtId="0" fontId="3" fillId="0" borderId="1" xfId="0" applyFont="1" applyBorder="1"/>
    <xf numFmtId="0" fontId="0" fillId="0" borderId="29" xfId="0" applyBorder="1"/>
    <xf numFmtId="0" fontId="0" fillId="4" borderId="0" xfId="0" applyFill="1"/>
    <xf numFmtId="0" fontId="17" fillId="0" borderId="1" xfId="0" applyFont="1" applyBorder="1" applyAlignment="1">
      <alignment horizontal="center"/>
    </xf>
    <xf numFmtId="0" fontId="13" fillId="18" borderId="1" xfId="0" applyFont="1" applyFill="1" applyBorder="1" applyAlignment="1">
      <alignment horizontal="right" wrapText="1"/>
    </xf>
    <xf numFmtId="0" fontId="13" fillId="9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0" fontId="13" fillId="17" borderId="1" xfId="0" applyFont="1" applyFill="1" applyBorder="1" applyAlignment="1">
      <alignment horizontal="right"/>
    </xf>
    <xf numFmtId="44" fontId="13" fillId="17" borderId="1" xfId="1" applyFont="1" applyFill="1" applyBorder="1"/>
    <xf numFmtId="0" fontId="13" fillId="19" borderId="18" xfId="0" applyFont="1" applyFill="1" applyBorder="1" applyAlignment="1">
      <alignment horizontal="right"/>
    </xf>
    <xf numFmtId="8" fontId="13" fillId="19" borderId="1" xfId="1" applyNumberFormat="1" applyFont="1" applyFill="1" applyBorder="1"/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20" borderId="43" xfId="0" applyFont="1" applyFill="1" applyBorder="1" applyAlignment="1">
      <alignment horizontal="center" vertical="center" wrapText="1"/>
    </xf>
    <xf numFmtId="0" fontId="23" fillId="20" borderId="44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6" fillId="0" borderId="27" xfId="0" applyFont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0" fontId="25" fillId="15" borderId="1" xfId="0" applyFont="1" applyFill="1" applyBorder="1" applyAlignment="1">
      <alignment horizontal="center" wrapText="1"/>
    </xf>
    <xf numFmtId="0" fontId="13" fillId="12" borderId="1" xfId="0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0" fontId="13" fillId="5" borderId="1" xfId="0" applyFont="1" applyFill="1" applyBorder="1" applyAlignment="1">
      <alignment horizontal="center"/>
    </xf>
    <xf numFmtId="0" fontId="25" fillId="15" borderId="1" xfId="0" applyFont="1" applyFill="1" applyBorder="1" applyAlignment="1">
      <alignment horizontal="left"/>
    </xf>
    <xf numFmtId="0" fontId="25" fillId="2" borderId="1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26" fillId="15" borderId="19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 wrapText="1"/>
    </xf>
    <xf numFmtId="44" fontId="8" fillId="15" borderId="1" xfId="1" applyFont="1" applyFill="1" applyBorder="1" applyAlignment="1">
      <alignment horizontal="center"/>
    </xf>
    <xf numFmtId="0" fontId="18" fillId="0" borderId="0" xfId="0" applyFont="1"/>
    <xf numFmtId="0" fontId="13" fillId="14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vertical="top"/>
    </xf>
    <xf numFmtId="44" fontId="16" fillId="14" borderId="10" xfId="1" applyFont="1" applyFill="1" applyBorder="1" applyAlignment="1">
      <alignment horizontal="center" vertical="center"/>
    </xf>
    <xf numFmtId="8" fontId="7" fillId="2" borderId="26" xfId="0" applyNumberFormat="1" applyFont="1" applyFill="1" applyBorder="1" applyAlignment="1">
      <alignment horizontal="left"/>
    </xf>
    <xf numFmtId="8" fontId="7" fillId="2" borderId="1" xfId="0" applyNumberFormat="1" applyFont="1" applyFill="1" applyBorder="1" applyAlignment="1">
      <alignment horizontal="left"/>
    </xf>
    <xf numFmtId="8" fontId="7" fillId="2" borderId="1" xfId="0" applyNumberFormat="1" applyFont="1" applyFill="1" applyBorder="1" applyAlignment="1">
      <alignment horizontal="left" wrapText="1"/>
    </xf>
    <xf numFmtId="6" fontId="7" fillId="2" borderId="1" xfId="0" applyNumberFormat="1" applyFont="1" applyFill="1" applyBorder="1" applyAlignment="1">
      <alignment horizontal="left"/>
    </xf>
    <xf numFmtId="0" fontId="28" fillId="0" borderId="21" xfId="0" applyFont="1" applyBorder="1"/>
    <xf numFmtId="0" fontId="29" fillId="0" borderId="10" xfId="0" applyFont="1" applyBorder="1"/>
    <xf numFmtId="0" fontId="31" fillId="0" borderId="10" xfId="0" applyFont="1" applyBorder="1"/>
    <xf numFmtId="0" fontId="29" fillId="0" borderId="0" xfId="0" applyFont="1" applyAlignment="1">
      <alignment horizontal="left" vertical="center"/>
    </xf>
    <xf numFmtId="0" fontId="30" fillId="0" borderId="0" xfId="0" applyFont="1"/>
    <xf numFmtId="0" fontId="5" fillId="3" borderId="10" xfId="0" applyFont="1" applyFill="1" applyBorder="1"/>
    <xf numFmtId="0" fontId="11" fillId="3" borderId="13" xfId="0" applyFont="1" applyFill="1" applyBorder="1" applyAlignment="1">
      <alignment horizontal="left"/>
    </xf>
    <xf numFmtId="0" fontId="2" fillId="14" borderId="10" xfId="0" applyFont="1" applyFill="1" applyBorder="1"/>
    <xf numFmtId="0" fontId="2" fillId="14" borderId="1" xfId="0" applyFont="1" applyFill="1" applyBorder="1" applyAlignment="1">
      <alignment horizontal="left"/>
    </xf>
    <xf numFmtId="3" fontId="0" fillId="0" borderId="0" xfId="0" applyNumberFormat="1"/>
    <xf numFmtId="3" fontId="2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12" fillId="2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2" fillId="2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2" fontId="9" fillId="5" borderId="1" xfId="0" applyNumberFormat="1" applyFont="1" applyFill="1" applyBorder="1" applyAlignment="1">
      <alignment horizontal="center"/>
    </xf>
    <xf numFmtId="2" fontId="7" fillId="8" borderId="1" xfId="0" applyNumberFormat="1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left"/>
    </xf>
    <xf numFmtId="0" fontId="13" fillId="22" borderId="1" xfId="0" applyFont="1" applyFill="1" applyBorder="1" applyAlignment="1">
      <alignment horizontal="center"/>
    </xf>
    <xf numFmtId="164" fontId="9" fillId="14" borderId="1" xfId="0" applyNumberFormat="1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34" fillId="2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7" fillId="0" borderId="1" xfId="0" applyFont="1" applyBorder="1" applyAlignment="1">
      <alignment horizontal="left"/>
    </xf>
    <xf numFmtId="0" fontId="20" fillId="21" borderId="1" xfId="0" applyFont="1" applyFill="1" applyBorder="1" applyAlignment="1">
      <alignment horizontal="center" vertical="center"/>
    </xf>
    <xf numFmtId="0" fontId="33" fillId="1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17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3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32" fillId="5" borderId="0" xfId="0" applyFont="1" applyFill="1" applyAlignment="1">
      <alignment horizontal="center"/>
    </xf>
    <xf numFmtId="0" fontId="32" fillId="5" borderId="32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6" fillId="7" borderId="20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44" fontId="27" fillId="7" borderId="16" xfId="1" applyFont="1" applyFill="1" applyBorder="1" applyAlignment="1">
      <alignment horizontal="center" vertical="center"/>
    </xf>
    <xf numFmtId="44" fontId="27" fillId="7" borderId="17" xfId="1" applyFont="1" applyFill="1" applyBorder="1" applyAlignment="1">
      <alignment horizontal="center" vertical="center"/>
    </xf>
    <xf numFmtId="44" fontId="27" fillId="7" borderId="5" xfId="1" applyFont="1" applyFill="1" applyBorder="1" applyAlignment="1">
      <alignment horizontal="center" vertical="center"/>
    </xf>
    <xf numFmtId="44" fontId="27" fillId="7" borderId="6" xfId="1" applyFont="1" applyFill="1" applyBorder="1" applyAlignment="1">
      <alignment horizontal="center" vertical="center"/>
    </xf>
    <xf numFmtId="44" fontId="27" fillId="7" borderId="7" xfId="1" applyFont="1" applyFill="1" applyBorder="1" applyAlignment="1">
      <alignment horizontal="center" vertical="center"/>
    </xf>
    <xf numFmtId="44" fontId="27" fillId="7" borderId="8" xfId="1" applyFont="1" applyFill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18" fillId="2" borderId="46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38" fillId="0" borderId="22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2" fontId="13" fillId="22" borderId="1" xfId="0" applyNumberFormat="1" applyFont="1" applyFill="1" applyBorder="1" applyAlignment="1">
      <alignment horizontal="center"/>
    </xf>
    <xf numFmtId="2" fontId="36" fillId="14" borderId="1" xfId="0" applyNumberFormat="1" applyFont="1" applyFill="1" applyBorder="1" applyAlignment="1">
      <alignment horizontal="center"/>
    </xf>
    <xf numFmtId="2" fontId="9" fillId="14" borderId="1" xfId="0" applyNumberFormat="1" applyFont="1" applyFill="1" applyBorder="1" applyAlignment="1">
      <alignment horizontal="center"/>
    </xf>
    <xf numFmtId="0" fontId="39" fillId="6" borderId="2" xfId="0" applyFont="1" applyFill="1" applyBorder="1" applyAlignment="1">
      <alignment horizontal="center" vertical="center"/>
    </xf>
    <xf numFmtId="0" fontId="39" fillId="6" borderId="14" xfId="0" applyFont="1" applyFill="1" applyBorder="1" applyAlignment="1">
      <alignment horizontal="center" vertical="center"/>
    </xf>
    <xf numFmtId="0" fontId="39" fillId="6" borderId="3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44" fontId="17" fillId="0" borderId="1" xfId="1" applyFont="1" applyBorder="1"/>
    <xf numFmtId="44" fontId="18" fillId="0" borderId="1" xfId="1" applyFont="1" applyBorder="1"/>
    <xf numFmtId="0" fontId="0" fillId="0" borderId="0" xfId="0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1" fillId="5" borderId="1" xfId="0" applyFont="1" applyFill="1" applyBorder="1"/>
    <xf numFmtId="44" fontId="13" fillId="5" borderId="1" xfId="0" applyNumberFormat="1" applyFont="1" applyFill="1" applyBorder="1"/>
    <xf numFmtId="0" fontId="13" fillId="5" borderId="1" xfId="0" applyFont="1" applyFill="1" applyBorder="1"/>
    <xf numFmtId="0" fontId="11" fillId="3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/>
    </xf>
    <xf numFmtId="2" fontId="18" fillId="16" borderId="1" xfId="0" applyNumberFormat="1" applyFont="1" applyFill="1" applyBorder="1"/>
    <xf numFmtId="0" fontId="0" fillId="16" borderId="1" xfId="0" applyFill="1" applyBorder="1"/>
    <xf numFmtId="0" fontId="6" fillId="4" borderId="1" xfId="0" applyFont="1" applyFill="1" applyBorder="1"/>
    <xf numFmtId="44" fontId="6" fillId="4" borderId="1" xfId="0" applyNumberFormat="1" applyFont="1" applyFill="1" applyBorder="1"/>
    <xf numFmtId="0" fontId="6" fillId="16" borderId="1" xfId="0" applyFont="1" applyFill="1" applyBorder="1"/>
    <xf numFmtId="44" fontId="11" fillId="5" borderId="1" xfId="1" applyFont="1" applyFill="1" applyBorder="1"/>
    <xf numFmtId="0" fontId="44" fillId="0" borderId="1" xfId="0" applyFont="1" applyBorder="1" applyAlignment="1">
      <alignment horizontal="center"/>
    </xf>
    <xf numFmtId="0" fontId="11" fillId="3" borderId="1" xfId="0" applyFont="1" applyFill="1" applyBorder="1"/>
    <xf numFmtId="0" fontId="17" fillId="0" borderId="0" xfId="0" applyFont="1"/>
    <xf numFmtId="0" fontId="19" fillId="5" borderId="0" xfId="0" applyFont="1" applyFill="1"/>
    <xf numFmtId="0" fontId="24" fillId="5" borderId="0" xfId="0" applyFont="1" applyFill="1"/>
    <xf numFmtId="0" fontId="45" fillId="2" borderId="0" xfId="0" applyFont="1" applyFill="1"/>
    <xf numFmtId="0" fontId="45" fillId="2" borderId="0" xfId="0" applyFont="1" applyFill="1" applyAlignment="1">
      <alignment horizontal="center"/>
    </xf>
    <xf numFmtId="0" fontId="12" fillId="5" borderId="0" xfId="0" applyFont="1" applyFill="1"/>
    <xf numFmtId="0" fontId="46" fillId="15" borderId="1" xfId="0" applyFont="1" applyFill="1" applyBorder="1" applyAlignment="1">
      <alignment horizontal="center" vertical="center" wrapText="1"/>
    </xf>
    <xf numFmtId="2" fontId="18" fillId="4" borderId="0" xfId="0" applyNumberFormat="1" applyFont="1" applyFill="1" applyAlignment="1">
      <alignment horizontal="right"/>
    </xf>
    <xf numFmtId="10" fontId="8" fillId="0" borderId="1" xfId="0" applyNumberFormat="1" applyFont="1" applyBorder="1" applyAlignment="1">
      <alignment horizontal="center"/>
    </xf>
    <xf numFmtId="0" fontId="10" fillId="8" borderId="1" xfId="0" applyFont="1" applyFill="1" applyBorder="1"/>
    <xf numFmtId="0" fontId="9" fillId="0" borderId="1" xfId="0" applyFont="1" applyBorder="1"/>
    <xf numFmtId="0" fontId="47" fillId="9" borderId="0" xfId="0" applyFont="1" applyFill="1" applyAlignment="1">
      <alignment horizontal="center" vertical="center"/>
    </xf>
    <xf numFmtId="0" fontId="47" fillId="9" borderId="4" xfId="0" applyFont="1" applyFill="1" applyBorder="1" applyAlignment="1">
      <alignment horizontal="center" vertical="center"/>
    </xf>
    <xf numFmtId="0" fontId="48" fillId="15" borderId="1" xfId="0" applyFont="1" applyFill="1" applyBorder="1" applyAlignment="1">
      <alignment horizontal="center" vertical="center" wrapText="1"/>
    </xf>
    <xf numFmtId="0" fontId="49" fillId="15" borderId="19" xfId="0" applyFont="1" applyFill="1" applyBorder="1" applyAlignment="1">
      <alignment horizontal="center" vertical="center" wrapText="1"/>
    </xf>
    <xf numFmtId="0" fontId="50" fillId="14" borderId="1" xfId="0" applyFont="1" applyFill="1" applyBorder="1" applyAlignment="1">
      <alignment horizontal="left"/>
    </xf>
    <xf numFmtId="0" fontId="8" fillId="24" borderId="0" xfId="0" applyFont="1" applyFill="1"/>
    <xf numFmtId="0" fontId="9" fillId="24" borderId="0" xfId="0" applyFont="1" applyFill="1"/>
    <xf numFmtId="0" fontId="36" fillId="15" borderId="1" xfId="0" applyFont="1" applyFill="1" applyBorder="1" applyAlignment="1">
      <alignment horizontal="center"/>
    </xf>
    <xf numFmtId="164" fontId="36" fillId="15" borderId="1" xfId="0" applyNumberFormat="1" applyFont="1" applyFill="1" applyBorder="1" applyAlignment="1">
      <alignment horizontal="center"/>
    </xf>
    <xf numFmtId="164" fontId="9" fillId="15" borderId="1" xfId="0" applyNumberFormat="1" applyFont="1" applyFill="1" applyBorder="1" applyAlignment="1">
      <alignment horizontal="center"/>
    </xf>
    <xf numFmtId="0" fontId="10" fillId="24" borderId="0" xfId="0" applyFont="1" applyFill="1"/>
    <xf numFmtId="0" fontId="12" fillId="5" borderId="19" xfId="0" applyFont="1" applyFill="1" applyBorder="1" applyAlignment="1">
      <alignment horizontal="center" vertical="center" wrapText="1"/>
    </xf>
    <xf numFmtId="0" fontId="51" fillId="9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/>
    </xf>
    <xf numFmtId="0" fontId="12" fillId="17" borderId="1" xfId="0" applyFont="1" applyFill="1" applyBorder="1" applyAlignment="1">
      <alignment horizontal="left"/>
    </xf>
    <xf numFmtId="0" fontId="52" fillId="17" borderId="1" xfId="0" applyFont="1" applyFill="1" applyBorder="1" applyAlignment="1">
      <alignment horizontal="center"/>
    </xf>
    <xf numFmtId="164" fontId="52" fillId="17" borderId="1" xfId="0" applyNumberFormat="1" applyFont="1" applyFill="1" applyBorder="1" applyAlignment="1">
      <alignment horizontal="center"/>
    </xf>
    <xf numFmtId="2" fontId="14" fillId="17" borderId="1" xfId="0" applyNumberFormat="1" applyFont="1" applyFill="1" applyBorder="1" applyAlignment="1">
      <alignment horizontal="center"/>
    </xf>
    <xf numFmtId="164" fontId="14" fillId="17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11" fillId="10" borderId="32" xfId="0" applyFont="1" applyFill="1" applyBorder="1" applyAlignment="1">
      <alignment horizontal="center"/>
    </xf>
    <xf numFmtId="0" fontId="12" fillId="10" borderId="32" xfId="0" applyFont="1" applyFill="1" applyBorder="1" applyAlignment="1">
      <alignment horizontal="center"/>
    </xf>
    <xf numFmtId="0" fontId="39" fillId="6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44" fontId="6" fillId="16" borderId="1" xfId="1" applyFont="1" applyFill="1" applyBorder="1"/>
    <xf numFmtId="2" fontId="37" fillId="4" borderId="1" xfId="0" applyNumberFormat="1" applyFont="1" applyFill="1" applyBorder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6" fillId="0" borderId="0" xfId="0" applyFont="1"/>
    <xf numFmtId="0" fontId="37" fillId="0" borderId="0" xfId="0" applyFont="1"/>
    <xf numFmtId="44" fontId="53" fillId="15" borderId="1" xfId="1" applyFont="1" applyFill="1" applyBorder="1" applyAlignment="1">
      <alignment vertical="center"/>
    </xf>
    <xf numFmtId="44" fontId="53" fillId="15" borderId="1" xfId="1" applyFont="1" applyFill="1" applyBorder="1" applyAlignment="1">
      <alignment horizontal="center" vertical="center"/>
    </xf>
    <xf numFmtId="44" fontId="15" fillId="18" borderId="1" xfId="0" applyNumberFormat="1" applyFont="1" applyFill="1" applyBorder="1"/>
    <xf numFmtId="0" fontId="54" fillId="9" borderId="1" xfId="0" applyFont="1" applyFill="1" applyBorder="1" applyAlignment="1">
      <alignment horizontal="center" vertical="center"/>
    </xf>
    <xf numFmtId="0" fontId="54" fillId="17" borderId="1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vertical="top"/>
    </xf>
    <xf numFmtId="0" fontId="56" fillId="0" borderId="1" xfId="0" applyFont="1" applyBorder="1"/>
    <xf numFmtId="0" fontId="57" fillId="5" borderId="1" xfId="0" applyFont="1" applyFill="1" applyBorder="1" applyAlignment="1">
      <alignment vertical="top"/>
    </xf>
    <xf numFmtId="0" fontId="57" fillId="5" borderId="1" xfId="0" applyFont="1" applyFill="1" applyBorder="1" applyAlignment="1">
      <alignment horizontal="center"/>
    </xf>
    <xf numFmtId="0" fontId="58" fillId="9" borderId="1" xfId="0" applyFont="1" applyFill="1" applyBorder="1" applyAlignment="1">
      <alignment vertical="top"/>
    </xf>
    <xf numFmtId="0" fontId="58" fillId="9" borderId="1" xfId="0" applyFont="1" applyFill="1" applyBorder="1" applyAlignment="1">
      <alignment horizontal="center"/>
    </xf>
    <xf numFmtId="0" fontId="57" fillId="9" borderId="1" xfId="0" applyFont="1" applyFill="1" applyBorder="1" applyAlignment="1">
      <alignment horizontal="center"/>
    </xf>
    <xf numFmtId="0" fontId="42" fillId="16" borderId="1" xfId="0" applyFont="1" applyFill="1" applyBorder="1" applyAlignment="1">
      <alignment horizontal="center"/>
    </xf>
    <xf numFmtId="0" fontId="56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vertical="top"/>
    </xf>
    <xf numFmtId="2" fontId="41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44" fontId="15" fillId="9" borderId="1" xfId="1" applyFont="1" applyFill="1" applyBorder="1"/>
    <xf numFmtId="44" fontId="15" fillId="11" borderId="1" xfId="1" applyFont="1" applyFill="1" applyBorder="1"/>
    <xf numFmtId="0" fontId="42" fillId="2" borderId="1" xfId="0" applyFont="1" applyFill="1" applyBorder="1" applyAlignment="1">
      <alignment horizontal="left" vertical="center"/>
    </xf>
    <xf numFmtId="8" fontId="15" fillId="14" borderId="1" xfId="1" applyNumberFormat="1" applyFont="1" applyFill="1" applyBorder="1"/>
    <xf numFmtId="44" fontId="15" fillId="10" borderId="1" xfId="1" applyFont="1" applyFill="1" applyBorder="1"/>
    <xf numFmtId="8" fontId="59" fillId="4" borderId="1" xfId="1" applyNumberFormat="1" applyFont="1" applyFill="1" applyBorder="1" applyAlignment="1">
      <alignment horizontal="right"/>
    </xf>
    <xf numFmtId="0" fontId="21" fillId="4" borderId="1" xfId="0" applyFont="1" applyFill="1" applyBorder="1" applyAlignment="1">
      <alignment horizontal="right"/>
    </xf>
    <xf numFmtId="8" fontId="60" fillId="0" borderId="0" xfId="0" applyNumberFormat="1" applyFont="1"/>
    <xf numFmtId="0" fontId="60" fillId="0" borderId="0" xfId="0" applyFont="1"/>
    <xf numFmtId="8" fontId="59" fillId="4" borderId="0" xfId="0" applyNumberFormat="1" applyFont="1" applyFill="1"/>
    <xf numFmtId="8" fontId="14" fillId="19" borderId="0" xfId="0" applyNumberFormat="1" applyFont="1" applyFill="1"/>
    <xf numFmtId="0" fontId="36" fillId="0" borderId="1" xfId="0" applyFont="1" applyBorder="1" applyAlignment="1">
      <alignment horizontal="left"/>
    </xf>
    <xf numFmtId="0" fontId="54" fillId="3" borderId="2" xfId="0" applyFont="1" applyFill="1" applyBorder="1" applyAlignment="1">
      <alignment horizontal="center" vertical="top" wrapText="1"/>
    </xf>
    <xf numFmtId="0" fontId="54" fillId="3" borderId="14" xfId="0" applyFont="1" applyFill="1" applyBorder="1" applyAlignment="1">
      <alignment horizontal="center" vertical="top" wrapText="1"/>
    </xf>
    <xf numFmtId="0" fontId="54" fillId="3" borderId="3" xfId="0" applyFont="1" applyFill="1" applyBorder="1" applyAlignment="1">
      <alignment horizontal="center" vertical="top" wrapText="1"/>
    </xf>
    <xf numFmtId="8" fontId="28" fillId="0" borderId="0" xfId="0" applyNumberFormat="1" applyFont="1"/>
    <xf numFmtId="44" fontId="0" fillId="0" borderId="0" xfId="0" applyNumberFormat="1"/>
    <xf numFmtId="44" fontId="28" fillId="0" borderId="0" xfId="0" applyNumberFormat="1" applyFont="1"/>
    <xf numFmtId="0" fontId="62" fillId="5" borderId="0" xfId="0" applyFont="1" applyFill="1" applyAlignment="1">
      <alignment horizontal="center" vertical="center" wrapText="1"/>
    </xf>
    <xf numFmtId="0" fontId="63" fillId="0" borderId="36" xfId="0" applyFont="1" applyBorder="1" applyAlignment="1">
      <alignment horizontal="left" vertical="center" wrapText="1" indent="3"/>
    </xf>
    <xf numFmtId="0" fontId="64" fillId="0" borderId="38" xfId="0" applyFont="1" applyBorder="1" applyAlignment="1">
      <alignment vertical="center" wrapText="1"/>
    </xf>
    <xf numFmtId="0" fontId="64" fillId="0" borderId="39" xfId="0" applyFont="1" applyBorder="1" applyAlignment="1">
      <alignment vertical="center" wrapText="1"/>
    </xf>
    <xf numFmtId="0" fontId="64" fillId="0" borderId="40" xfId="0" applyFont="1" applyBorder="1" applyAlignment="1">
      <alignment vertical="center" wrapText="1"/>
    </xf>
    <xf numFmtId="0" fontId="65" fillId="0" borderId="35" xfId="0" applyFont="1" applyBorder="1" applyAlignment="1">
      <alignment vertical="center" wrapText="1"/>
    </xf>
    <xf numFmtId="0" fontId="65" fillId="0" borderId="0" xfId="0" applyFont="1" applyAlignment="1">
      <alignment vertical="center" wrapText="1"/>
    </xf>
    <xf numFmtId="0" fontId="65" fillId="0" borderId="36" xfId="0" applyFont="1" applyBorder="1" applyAlignment="1">
      <alignment vertical="center" wrapText="1"/>
    </xf>
    <xf numFmtId="14" fontId="66" fillId="0" borderId="37" xfId="0" applyNumberFormat="1" applyFont="1" applyBorder="1" applyAlignment="1">
      <alignment vertical="center" wrapText="1"/>
    </xf>
    <xf numFmtId="0" fontId="67" fillId="20" borderId="1" xfId="0" applyFont="1" applyFill="1" applyBorder="1" applyAlignment="1">
      <alignment horizontal="center" vertical="center" wrapText="1"/>
    </xf>
    <xf numFmtId="0" fontId="23" fillId="8" borderId="43" xfId="0" applyFont="1" applyFill="1" applyBorder="1" applyAlignment="1">
      <alignment horizontal="center" vertical="center" wrapText="1"/>
    </xf>
    <xf numFmtId="0" fontId="23" fillId="8" borderId="44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35" fillId="8" borderId="1" xfId="0" applyFont="1" applyFill="1" applyBorder="1" applyAlignment="1">
      <alignment horizontal="center"/>
    </xf>
    <xf numFmtId="0" fontId="68" fillId="8" borderId="1" xfId="0" applyFont="1" applyFill="1" applyBorder="1"/>
    <xf numFmtId="8" fontId="70" fillId="8" borderId="1" xfId="0" applyNumberFormat="1" applyFont="1" applyFill="1" applyBorder="1" applyAlignment="1">
      <alignment horizontal="center" vertical="center" wrapText="1"/>
    </xf>
    <xf numFmtId="8" fontId="69" fillId="8" borderId="1" xfId="0" applyNumberFormat="1" applyFont="1" applyFill="1" applyBorder="1" applyAlignment="1">
      <alignment horizontal="center" vertical="center" wrapText="1"/>
    </xf>
    <xf numFmtId="9" fontId="69" fillId="8" borderId="1" xfId="0" applyNumberFormat="1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/>
    </xf>
    <xf numFmtId="0" fontId="68" fillId="11" borderId="1" xfId="0" applyFont="1" applyFill="1" applyBorder="1"/>
    <xf numFmtId="8" fontId="70" fillId="11" borderId="1" xfId="0" applyNumberFormat="1" applyFont="1" applyFill="1" applyBorder="1" applyAlignment="1">
      <alignment horizontal="center" vertical="center" wrapText="1"/>
    </xf>
    <xf numFmtId="8" fontId="69" fillId="11" borderId="1" xfId="0" applyNumberFormat="1" applyFont="1" applyFill="1" applyBorder="1" applyAlignment="1">
      <alignment horizontal="center" vertical="center" wrapText="1"/>
    </xf>
    <xf numFmtId="9" fontId="69" fillId="11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/>
    </xf>
    <xf numFmtId="0" fontId="68" fillId="2" borderId="1" xfId="0" applyFont="1" applyFill="1" applyBorder="1"/>
    <xf numFmtId="8" fontId="70" fillId="2" borderId="1" xfId="0" applyNumberFormat="1" applyFont="1" applyFill="1" applyBorder="1" applyAlignment="1">
      <alignment horizontal="center" vertical="center" wrapText="1"/>
    </xf>
    <xf numFmtId="8" fontId="69" fillId="2" borderId="1" xfId="0" applyNumberFormat="1" applyFont="1" applyFill="1" applyBorder="1" applyAlignment="1">
      <alignment horizontal="center" vertical="center" wrapText="1"/>
    </xf>
    <xf numFmtId="9" fontId="69" fillId="2" borderId="1" xfId="0" applyNumberFormat="1" applyFont="1" applyFill="1" applyBorder="1" applyAlignment="1">
      <alignment horizontal="center" vertical="center" wrapText="1"/>
    </xf>
    <xf numFmtId="0" fontId="68" fillId="2" borderId="1" xfId="0" applyFont="1" applyFill="1" applyBorder="1" applyAlignment="1">
      <alignment vertical="center" wrapText="1"/>
    </xf>
    <xf numFmtId="0" fontId="35" fillId="25" borderId="1" xfId="0" applyFont="1" applyFill="1" applyBorder="1" applyAlignment="1">
      <alignment horizontal="center"/>
    </xf>
    <xf numFmtId="0" fontId="68" fillId="25" borderId="1" xfId="0" applyFont="1" applyFill="1" applyBorder="1" applyAlignment="1">
      <alignment vertical="center" wrapText="1"/>
    </xf>
    <xf numFmtId="8" fontId="70" fillId="25" borderId="1" xfId="0" applyNumberFormat="1" applyFont="1" applyFill="1" applyBorder="1" applyAlignment="1">
      <alignment horizontal="center" vertical="center" wrapText="1"/>
    </xf>
    <xf numFmtId="8" fontId="69" fillId="25" borderId="1" xfId="0" applyNumberFormat="1" applyFont="1" applyFill="1" applyBorder="1" applyAlignment="1">
      <alignment horizontal="center" vertical="center" wrapText="1"/>
    </xf>
    <xf numFmtId="9" fontId="69" fillId="25" borderId="1" xfId="0" applyNumberFormat="1" applyFont="1" applyFill="1" applyBorder="1" applyAlignment="1">
      <alignment horizontal="center" vertical="center" wrapText="1"/>
    </xf>
    <xf numFmtId="0" fontId="40" fillId="17" borderId="1" xfId="0" applyFont="1" applyFill="1" applyBorder="1" applyAlignment="1">
      <alignment horizontal="center"/>
    </xf>
    <xf numFmtId="0" fontId="71" fillId="17" borderId="1" xfId="0" applyFont="1" applyFill="1" applyBorder="1" applyAlignment="1">
      <alignment vertical="center" wrapText="1"/>
    </xf>
    <xf numFmtId="8" fontId="72" fillId="17" borderId="1" xfId="0" applyNumberFormat="1" applyFont="1" applyFill="1" applyBorder="1" applyAlignment="1">
      <alignment horizontal="center" vertical="center" wrapText="1"/>
    </xf>
    <xf numFmtId="9" fontId="72" fillId="17" borderId="1" xfId="0" applyNumberFormat="1" applyFont="1" applyFill="1" applyBorder="1" applyAlignment="1">
      <alignment horizontal="center" vertical="center" wrapText="1"/>
    </xf>
    <xf numFmtId="0" fontId="69" fillId="8" borderId="18" xfId="0" applyFont="1" applyFill="1" applyBorder="1" applyAlignment="1">
      <alignment horizontal="center" vertical="center" wrapText="1"/>
    </xf>
    <xf numFmtId="0" fontId="69" fillId="8" borderId="26" xfId="0" applyFont="1" applyFill="1" applyBorder="1" applyAlignment="1">
      <alignment horizontal="center" vertical="center" wrapText="1"/>
    </xf>
    <xf numFmtId="9" fontId="69" fillId="8" borderId="19" xfId="0" applyNumberFormat="1" applyFont="1" applyFill="1" applyBorder="1" applyAlignment="1">
      <alignment horizontal="center" vertical="center" wrapText="1"/>
    </xf>
    <xf numFmtId="0" fontId="69" fillId="11" borderId="26" xfId="0" applyFont="1" applyFill="1" applyBorder="1" applyAlignment="1">
      <alignment horizontal="center" vertical="center" wrapText="1"/>
    </xf>
    <xf numFmtId="9" fontId="69" fillId="11" borderId="19" xfId="0" applyNumberFormat="1" applyFont="1" applyFill="1" applyBorder="1" applyAlignment="1">
      <alignment horizontal="center" vertical="center" wrapText="1"/>
    </xf>
    <xf numFmtId="0" fontId="69" fillId="2" borderId="26" xfId="0" applyFont="1" applyFill="1" applyBorder="1" applyAlignment="1">
      <alignment horizontal="center" vertical="center" wrapText="1"/>
    </xf>
    <xf numFmtId="9" fontId="69" fillId="2" borderId="19" xfId="0" applyNumberFormat="1" applyFont="1" applyFill="1" applyBorder="1" applyAlignment="1">
      <alignment horizontal="center" vertical="center" wrapText="1"/>
    </xf>
    <xf numFmtId="0" fontId="72" fillId="17" borderId="26" xfId="0" applyFont="1" applyFill="1" applyBorder="1" applyAlignment="1">
      <alignment horizontal="center" vertical="center" wrapText="1"/>
    </xf>
    <xf numFmtId="9" fontId="72" fillId="17" borderId="19" xfId="0" applyNumberFormat="1" applyFont="1" applyFill="1" applyBorder="1" applyAlignment="1">
      <alignment horizontal="center" vertical="center" wrapText="1"/>
    </xf>
    <xf numFmtId="10" fontId="73" fillId="0" borderId="19" xfId="0" applyNumberFormat="1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26" xfId="0" applyFont="1" applyFill="1" applyBorder="1" applyAlignment="1">
      <alignment horizontal="center" vertical="center" wrapText="1"/>
    </xf>
    <xf numFmtId="0" fontId="28" fillId="0" borderId="0" xfId="0" applyFont="1"/>
    <xf numFmtId="3" fontId="28" fillId="0" borderId="0" xfId="0" applyNumberFormat="1" applyFont="1"/>
    <xf numFmtId="9" fontId="72" fillId="5" borderId="1" xfId="0" applyNumberFormat="1" applyFont="1" applyFill="1" applyBorder="1" applyAlignment="1">
      <alignment horizontal="center" vertical="center" wrapText="1"/>
    </xf>
    <xf numFmtId="44" fontId="37" fillId="4" borderId="0" xfId="1" applyFont="1" applyFill="1"/>
    <xf numFmtId="0" fontId="36" fillId="0" borderId="0" xfId="0" applyFont="1" applyAlignment="1">
      <alignment horizontal="center"/>
    </xf>
    <xf numFmtId="0" fontId="52" fillId="9" borderId="0" xfId="0" applyFont="1" applyFill="1" applyAlignment="1">
      <alignment horizontal="center"/>
    </xf>
    <xf numFmtId="0" fontId="12" fillId="3" borderId="26" xfId="0" applyFont="1" applyFill="1" applyBorder="1" applyAlignment="1">
      <alignment horizontal="right" vertical="center" wrapText="1"/>
    </xf>
    <xf numFmtId="0" fontId="24" fillId="9" borderId="0" xfId="0" applyFont="1" applyFill="1" applyAlignment="1">
      <alignment horizontal="center"/>
    </xf>
    <xf numFmtId="0" fontId="12" fillId="9" borderId="1" xfId="0" applyFont="1" applyFill="1" applyBorder="1" applyAlignment="1">
      <alignment horizontal="right" vertical="center" wrapText="1"/>
    </xf>
    <xf numFmtId="0" fontId="8" fillId="7" borderId="10" xfId="0" applyFont="1" applyFill="1" applyBorder="1" applyAlignment="1">
      <alignment horizontal="center" vertical="center"/>
    </xf>
    <xf numFmtId="0" fontId="36" fillId="2" borderId="0" xfId="0" applyFont="1" applyFill="1"/>
    <xf numFmtId="9" fontId="74" fillId="5" borderId="11" xfId="0" applyNumberFormat="1" applyFont="1" applyFill="1" applyBorder="1" applyAlignment="1">
      <alignment horizontal="right" vertical="top"/>
    </xf>
    <xf numFmtId="0" fontId="74" fillId="5" borderId="12" xfId="0" applyFont="1" applyFill="1" applyBorder="1" applyAlignment="1">
      <alignment horizontal="right" vertical="top"/>
    </xf>
    <xf numFmtId="0" fontId="13" fillId="26" borderId="1" xfId="0" applyFont="1" applyFill="1" applyBorder="1" applyAlignment="1">
      <alignment horizontal="right" vertical="center" wrapText="1"/>
    </xf>
    <xf numFmtId="0" fontId="51" fillId="5" borderId="1" xfId="0" applyFont="1" applyFill="1" applyBorder="1" applyAlignment="1">
      <alignment horizontal="right" vertical="center" wrapText="1"/>
    </xf>
    <xf numFmtId="44" fontId="51" fillId="5" borderId="1" xfId="1" applyFont="1" applyFill="1" applyBorder="1" applyAlignment="1">
      <alignment horizontal="center"/>
    </xf>
    <xf numFmtId="0" fontId="13" fillId="26" borderId="0" xfId="0" applyFont="1" applyFill="1" applyAlignment="1">
      <alignment horizontal="center"/>
    </xf>
    <xf numFmtId="0" fontId="15" fillId="26" borderId="0" xfId="0" applyFont="1" applyFill="1" applyAlignment="1">
      <alignment horizontal="center" vertical="center"/>
    </xf>
    <xf numFmtId="6" fontId="15" fillId="16" borderId="9" xfId="0" applyNumberFormat="1" applyFont="1" applyFill="1" applyBorder="1" applyAlignment="1">
      <alignment horizontal="right" vertical="center"/>
    </xf>
    <xf numFmtId="0" fontId="7" fillId="16" borderId="1" xfId="0" applyFont="1" applyFill="1" applyBorder="1" applyAlignment="1">
      <alignment horizontal="right" vertical="center" wrapText="1"/>
    </xf>
    <xf numFmtId="0" fontId="9" fillId="16" borderId="0" xfId="0" applyFont="1" applyFill="1" applyAlignment="1">
      <alignment horizontal="center" vertical="center"/>
    </xf>
    <xf numFmtId="0" fontId="75" fillId="16" borderId="0" xfId="0" applyFont="1" applyFill="1" applyAlignment="1">
      <alignment horizontal="center" vertical="center"/>
    </xf>
    <xf numFmtId="8" fontId="7" fillId="2" borderId="1" xfId="0" applyNumberFormat="1" applyFont="1" applyFill="1" applyBorder="1" applyAlignment="1">
      <alignment horizontal="left" vertical="top" wrapText="1"/>
    </xf>
    <xf numFmtId="0" fontId="8" fillId="13" borderId="1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6" fontId="36" fillId="0" borderId="1" xfId="0" applyNumberFormat="1" applyFont="1" applyBorder="1" applyAlignment="1">
      <alignment horizontal="right"/>
    </xf>
    <xf numFmtId="6" fontId="18" fillId="0" borderId="1" xfId="0" applyNumberFormat="1" applyFont="1" applyBorder="1" applyAlignment="1">
      <alignment horizontal="right"/>
    </xf>
    <xf numFmtId="6" fontId="37" fillId="0" borderId="1" xfId="0" applyNumberFormat="1" applyFont="1" applyBorder="1" applyAlignment="1">
      <alignment horizontal="right"/>
    </xf>
    <xf numFmtId="6" fontId="10" fillId="0" borderId="1" xfId="0" applyNumberFormat="1" applyFont="1" applyBorder="1"/>
    <xf numFmtId="0" fontId="9" fillId="0" borderId="1" xfId="0" applyFont="1" applyBorder="1" applyAlignment="1">
      <alignment horizontal="right"/>
    </xf>
    <xf numFmtId="0" fontId="57" fillId="26" borderId="0" xfId="0" applyFont="1" applyFill="1"/>
    <xf numFmtId="0" fontId="57" fillId="0" borderId="0" xfId="0" applyFont="1"/>
    <xf numFmtId="0" fontId="76" fillId="26" borderId="0" xfId="0" applyFont="1" applyFill="1" applyAlignment="1">
      <alignment horizontal="center" vertical="center"/>
    </xf>
    <xf numFmtId="2" fontId="77" fillId="26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44" fontId="43" fillId="0" borderId="0" xfId="0" applyNumberFormat="1" applyFont="1"/>
    <xf numFmtId="0" fontId="53" fillId="0" borderId="1" xfId="0" applyFont="1" applyBorder="1" applyAlignment="1">
      <alignment horizontal="center"/>
    </xf>
    <xf numFmtId="44" fontId="78" fillId="0" borderId="1" xfId="0" applyNumberFormat="1" applyFont="1" applyBorder="1"/>
    <xf numFmtId="0" fontId="29" fillId="0" borderId="0" xfId="0" applyFont="1"/>
    <xf numFmtId="0" fontId="28" fillId="0" borderId="0" xfId="0" applyFont="1" applyAlignment="1">
      <alignment horizontal="left"/>
    </xf>
    <xf numFmtId="0" fontId="51" fillId="5" borderId="0" xfId="0" applyFont="1" applyFill="1" applyAlignment="1">
      <alignment horizontal="right"/>
    </xf>
    <xf numFmtId="0" fontId="51" fillId="5" borderId="0" xfId="0" applyFont="1" applyFill="1"/>
    <xf numFmtId="0" fontId="29" fillId="14" borderId="0" xfId="0" applyFont="1" applyFill="1" applyAlignment="1">
      <alignment horizontal="righ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79" fillId="5" borderId="0" xfId="0" applyFont="1" applyFill="1" applyAlignment="1">
      <alignment horizontal="right"/>
    </xf>
    <xf numFmtId="2" fontId="51" fillId="5" borderId="0" xfId="0" applyNumberFormat="1" applyFont="1" applyFill="1" applyAlignment="1">
      <alignment horizontal="left"/>
    </xf>
    <xf numFmtId="0" fontId="80" fillId="26" borderId="0" xfId="0" applyFont="1" applyFill="1"/>
    <xf numFmtId="2" fontId="29" fillId="0" borderId="0" xfId="0" applyNumberFormat="1" applyFont="1"/>
    <xf numFmtId="44" fontId="29" fillId="0" borderId="0" xfId="1" applyFont="1" applyAlignment="1">
      <alignment horizontal="left" vertical="center"/>
    </xf>
    <xf numFmtId="0" fontId="37" fillId="0" borderId="10" xfId="0" applyFont="1" applyBorder="1"/>
    <xf numFmtId="0" fontId="28" fillId="0" borderId="10" xfId="0" applyFont="1" applyBorder="1"/>
    <xf numFmtId="0" fontId="37" fillId="0" borderId="13" xfId="0" applyFont="1" applyBorder="1"/>
    <xf numFmtId="0" fontId="43" fillId="2" borderId="10" xfId="0" applyFont="1" applyFill="1" applyBorder="1" applyAlignment="1">
      <alignment horizontal="left"/>
    </xf>
    <xf numFmtId="0" fontId="80" fillId="26" borderId="0" xfId="0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642D"/>
      <color rgb="FF00FF00"/>
      <color rgb="FF6699FF"/>
      <color rgb="FF66CCFF"/>
      <color rgb="FF000099"/>
      <color rgb="FF66FF99"/>
      <color rgb="FFFFFF99"/>
      <color rgb="FF6600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casprimero.blogspot.com/2015/08/galletas-de-platano.htm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chicasprimero.blogspot.com/2015/08/galletas-de-platano.html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s://pxhere.com/bg/photo/211712" TargetMode="Externa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https://chicasprimero.blogspot.com/2015/08/galletas-de-platano.html" TargetMode="External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357187</xdr:colOff>
      <xdr:row>30</xdr:row>
      <xdr:rowOff>10518</xdr:rowOff>
    </xdr:from>
    <xdr:to>
      <xdr:col>10</xdr:col>
      <xdr:colOff>674689</xdr:colOff>
      <xdr:row>34</xdr:row>
      <xdr:rowOff>184505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897852-B173-B5DE-6BD8-C646C5B8F0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21301" r="2260"/>
        <a:stretch/>
      </xdr:blipFill>
      <xdr:spPr>
        <a:xfrm>
          <a:off x="11519296" y="6836768"/>
          <a:ext cx="1617267" cy="928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357187</xdr:colOff>
      <xdr:row>30</xdr:row>
      <xdr:rowOff>10518</xdr:rowOff>
    </xdr:from>
    <xdr:to>
      <xdr:col>11</xdr:col>
      <xdr:colOff>674689</xdr:colOff>
      <xdr:row>34</xdr:row>
      <xdr:rowOff>184505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2891BF-35AD-48D1-9FA3-14A02D2DD6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21301" r="2260"/>
        <a:stretch/>
      </xdr:blipFill>
      <xdr:spPr>
        <a:xfrm>
          <a:off x="12377737" y="7135218"/>
          <a:ext cx="1612902" cy="9359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866775</xdr:colOff>
      <xdr:row>19</xdr:row>
      <xdr:rowOff>21952</xdr:rowOff>
    </xdr:from>
    <xdr:to>
      <xdr:col>7</xdr:col>
      <xdr:colOff>66675</xdr:colOff>
      <xdr:row>23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1A27D0-27EF-93FB-D27F-A70B51A2B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6915150" y="4603477"/>
          <a:ext cx="1619250" cy="9114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1689919</xdr:colOff>
      <xdr:row>45</xdr:row>
      <xdr:rowOff>112662</xdr:rowOff>
    </xdr:from>
    <xdr:to>
      <xdr:col>6</xdr:col>
      <xdr:colOff>2058629</xdr:colOff>
      <xdr:row>46</xdr:row>
      <xdr:rowOff>102419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2BA81131-B936-4A8D-9B5A-EDC06FD7548B}"/>
            </a:ext>
          </a:extLst>
        </xdr:cNvPr>
        <xdr:cNvCxnSpPr/>
      </xdr:nvCxnSpPr>
      <xdr:spPr>
        <a:xfrm flipV="1">
          <a:off x="10272661" y="11645081"/>
          <a:ext cx="2068871" cy="18435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133145</xdr:colOff>
      <xdr:row>45</xdr:row>
      <xdr:rowOff>102420</xdr:rowOff>
    </xdr:from>
    <xdr:to>
      <xdr:col>6</xdr:col>
      <xdr:colOff>1915242</xdr:colOff>
      <xdr:row>45</xdr:row>
      <xdr:rowOff>133146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7294A6D9-06FC-4D25-B99B-DD51CCD3FC0B}"/>
            </a:ext>
          </a:extLst>
        </xdr:cNvPr>
        <xdr:cNvCxnSpPr/>
      </xdr:nvCxnSpPr>
      <xdr:spPr>
        <a:xfrm flipH="1">
          <a:off x="10416048" y="11634839"/>
          <a:ext cx="1782097" cy="3072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727363</xdr:colOff>
      <xdr:row>32</xdr:row>
      <xdr:rowOff>17318</xdr:rowOff>
    </xdr:from>
    <xdr:to>
      <xdr:col>8</xdr:col>
      <xdr:colOff>2957079</xdr:colOff>
      <xdr:row>38</xdr:row>
      <xdr:rowOff>61769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7D9F43-473B-4C3C-A706-D3D92AA385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21301" r="2260"/>
        <a:stretch/>
      </xdr:blipFill>
      <xdr:spPr>
        <a:xfrm>
          <a:off x="21076227" y="10494818"/>
          <a:ext cx="2234045" cy="1291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2731087</xdr:colOff>
      <xdr:row>13</xdr:row>
      <xdr:rowOff>43295</xdr:rowOff>
    </xdr:from>
    <xdr:to>
      <xdr:col>6</xdr:col>
      <xdr:colOff>2577033</xdr:colOff>
      <xdr:row>20</xdr:row>
      <xdr:rowOff>12822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887C26-6AF9-4759-807E-6FC57BB38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80405" y="4127500"/>
          <a:ext cx="7624695" cy="1874527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28</xdr:row>
      <xdr:rowOff>28864</xdr:rowOff>
    </xdr:from>
    <xdr:to>
      <xdr:col>4</xdr:col>
      <xdr:colOff>2770189</xdr:colOff>
      <xdr:row>32</xdr:row>
      <xdr:rowOff>182126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0CFEC1-CCB5-4DF9-B3D5-2D8F7282F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260" y="9510569"/>
          <a:ext cx="2627315" cy="1625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C3ED-DA1D-45D2-881C-9122E9E0A659}">
  <dimension ref="A3:K38"/>
  <sheetViews>
    <sheetView topLeftCell="B18" zoomScale="98" zoomScaleNormal="98" workbookViewId="0">
      <selection activeCell="E31" sqref="E31:I31"/>
    </sheetView>
  </sheetViews>
  <sheetFormatPr baseColWidth="10" defaultRowHeight="15" x14ac:dyDescent="0.25"/>
  <cols>
    <col min="1" max="1" width="26.140625" customWidth="1"/>
    <col min="2" max="2" width="15.7109375" customWidth="1"/>
    <col min="3" max="3" width="18.5703125" customWidth="1"/>
    <col min="4" max="4" width="9.28515625" customWidth="1"/>
    <col min="5" max="5" width="12.7109375" customWidth="1"/>
    <col min="6" max="6" width="41.85546875" customWidth="1"/>
    <col min="7" max="7" width="18.5703125" customWidth="1"/>
    <col min="8" max="8" width="16.85546875" customWidth="1"/>
    <col min="9" max="9" width="20.5703125" customWidth="1"/>
    <col min="10" max="10" width="19.42578125" customWidth="1"/>
    <col min="11" max="11" width="17.85546875" customWidth="1"/>
    <col min="13" max="13" width="23.42578125" customWidth="1"/>
  </cols>
  <sheetData>
    <row r="3" spans="1:11" x14ac:dyDescent="0.25">
      <c r="A3" t="s">
        <v>158</v>
      </c>
      <c r="B3" t="s">
        <v>159</v>
      </c>
      <c r="C3" t="s">
        <v>160</v>
      </c>
      <c r="D3" t="s">
        <v>161</v>
      </c>
    </row>
    <row r="4" spans="1:11" x14ac:dyDescent="0.25">
      <c r="A4" t="s">
        <v>158</v>
      </c>
      <c r="B4">
        <v>2</v>
      </c>
      <c r="C4">
        <v>2</v>
      </c>
      <c r="D4">
        <v>3</v>
      </c>
      <c r="E4" s="86" t="s">
        <v>12</v>
      </c>
      <c r="F4" s="86"/>
      <c r="G4" s="86"/>
      <c r="H4" s="86"/>
      <c r="I4" s="86"/>
      <c r="J4" s="86"/>
      <c r="K4" s="86"/>
    </row>
    <row r="5" spans="1:11" x14ac:dyDescent="0.25">
      <c r="A5" t="s">
        <v>158</v>
      </c>
      <c r="B5">
        <v>0</v>
      </c>
      <c r="C5">
        <v>2</v>
      </c>
      <c r="D5">
        <v>3</v>
      </c>
      <c r="E5" s="86"/>
      <c r="F5" s="86"/>
      <c r="G5" s="86"/>
      <c r="H5" s="86"/>
      <c r="I5" s="86"/>
      <c r="J5" s="86"/>
      <c r="K5" s="86"/>
    </row>
    <row r="6" spans="1:11" x14ac:dyDescent="0.25">
      <c r="E6" s="86"/>
      <c r="F6" s="86"/>
      <c r="G6" s="86"/>
      <c r="H6" s="86"/>
      <c r="I6" s="86"/>
      <c r="J6" s="86"/>
      <c r="K6" s="86"/>
    </row>
    <row r="7" spans="1:11" ht="26.25" x14ac:dyDescent="0.4">
      <c r="E7" s="87" t="s">
        <v>121</v>
      </c>
      <c r="F7" s="87"/>
      <c r="G7" s="87"/>
      <c r="H7" s="87"/>
      <c r="I7" s="87"/>
      <c r="J7" s="87"/>
      <c r="K7" s="87"/>
    </row>
    <row r="8" spans="1:11" ht="18.75" x14ac:dyDescent="0.3">
      <c r="E8" s="85" t="s">
        <v>143</v>
      </c>
      <c r="F8" s="85"/>
      <c r="G8" s="85"/>
      <c r="H8" s="88" t="s">
        <v>147</v>
      </c>
      <c r="I8" s="88"/>
      <c r="J8" s="88"/>
      <c r="K8" s="88"/>
    </row>
    <row r="9" spans="1:11" ht="18.75" x14ac:dyDescent="0.3">
      <c r="E9" s="89" t="s">
        <v>144</v>
      </c>
      <c r="F9" s="89"/>
      <c r="G9" s="89"/>
      <c r="H9" s="85" t="s">
        <v>148</v>
      </c>
      <c r="I9" s="85"/>
      <c r="J9" s="85"/>
      <c r="K9" s="85"/>
    </row>
    <row r="10" spans="1:11" ht="18.75" customHeight="1" x14ac:dyDescent="0.3">
      <c r="A10" s="82" t="s">
        <v>95</v>
      </c>
      <c r="B10" s="82"/>
      <c r="C10" s="82"/>
      <c r="D10" s="75"/>
      <c r="E10" s="85" t="s">
        <v>145</v>
      </c>
      <c r="F10" s="85"/>
      <c r="G10" s="85"/>
      <c r="H10" s="85" t="s">
        <v>149</v>
      </c>
      <c r="I10" s="85"/>
      <c r="J10" s="85"/>
      <c r="K10" s="85"/>
    </row>
    <row r="11" spans="1:11" ht="21.75" customHeight="1" x14ac:dyDescent="0.3">
      <c r="A11" s="82"/>
      <c r="B11" s="82"/>
      <c r="C11" s="82"/>
      <c r="D11" s="75"/>
      <c r="E11" s="85" t="s">
        <v>146</v>
      </c>
      <c r="F11" s="85"/>
      <c r="G11" s="85"/>
      <c r="H11" s="85"/>
      <c r="I11" s="85"/>
      <c r="J11" s="85"/>
      <c r="K11" s="85"/>
    </row>
    <row r="12" spans="1:11" ht="18.75" x14ac:dyDescent="0.3">
      <c r="A12" s="62" t="s">
        <v>102</v>
      </c>
      <c r="B12" s="62">
        <v>1</v>
      </c>
      <c r="C12" s="65" t="s">
        <v>138</v>
      </c>
      <c r="E12" s="26" t="s">
        <v>0</v>
      </c>
      <c r="F12" s="56" t="s">
        <v>13</v>
      </c>
      <c r="G12" s="57" t="s">
        <v>6</v>
      </c>
      <c r="H12" s="58" t="s">
        <v>14</v>
      </c>
      <c r="I12" s="59" t="s">
        <v>122</v>
      </c>
      <c r="J12" s="60" t="s">
        <v>123</v>
      </c>
      <c r="K12" s="61" t="s">
        <v>124</v>
      </c>
    </row>
    <row r="13" spans="1:11" ht="23.25" x14ac:dyDescent="0.35">
      <c r="A13" s="62" t="s">
        <v>125</v>
      </c>
      <c r="B13" s="62">
        <v>1.5</v>
      </c>
      <c r="C13" s="65" t="s">
        <v>139</v>
      </c>
      <c r="E13" s="62">
        <v>25</v>
      </c>
      <c r="F13" s="63" t="s">
        <v>150</v>
      </c>
      <c r="G13" s="64">
        <v>0.2</v>
      </c>
      <c r="H13" s="65" t="s">
        <v>156</v>
      </c>
      <c r="I13" s="66">
        <f>G13*2</f>
        <v>0.4</v>
      </c>
      <c r="J13" s="67">
        <f>G13*5</f>
        <v>1</v>
      </c>
      <c r="K13" s="68">
        <f>G13*10</f>
        <v>2</v>
      </c>
    </row>
    <row r="14" spans="1:11" ht="23.25" x14ac:dyDescent="0.35">
      <c r="A14" s="62" t="s">
        <v>103</v>
      </c>
      <c r="B14" s="62">
        <v>2</v>
      </c>
      <c r="C14" s="65" t="s">
        <v>140</v>
      </c>
      <c r="E14" s="62">
        <v>30</v>
      </c>
      <c r="F14" s="63" t="s">
        <v>151</v>
      </c>
      <c r="G14" s="64">
        <f>0.22*1.5</f>
        <v>0.33</v>
      </c>
      <c r="H14" s="65" t="s">
        <v>156</v>
      </c>
      <c r="I14" s="66">
        <f t="shared" ref="I14:I19" si="0">G14*2</f>
        <v>0.66</v>
      </c>
      <c r="J14" s="67">
        <f t="shared" ref="J14:J19" si="1">G14*5</f>
        <v>1.6500000000000001</v>
      </c>
      <c r="K14" s="68">
        <f t="shared" ref="K14:K19" si="2">G14*10</f>
        <v>3.3000000000000003</v>
      </c>
    </row>
    <row r="15" spans="1:11" ht="23.25" x14ac:dyDescent="0.35">
      <c r="A15" s="62" t="s">
        <v>104</v>
      </c>
      <c r="B15" s="74">
        <v>0.75</v>
      </c>
      <c r="C15" s="65" t="s">
        <v>141</v>
      </c>
      <c r="E15" s="62">
        <v>29</v>
      </c>
      <c r="F15" s="63" t="s">
        <v>152</v>
      </c>
      <c r="G15" s="64">
        <v>0.02</v>
      </c>
      <c r="H15" s="65" t="s">
        <v>157</v>
      </c>
      <c r="I15" s="66">
        <f t="shared" si="0"/>
        <v>0.04</v>
      </c>
      <c r="J15" s="67">
        <f t="shared" si="1"/>
        <v>0.1</v>
      </c>
      <c r="K15" s="68">
        <f t="shared" si="2"/>
        <v>0.2</v>
      </c>
    </row>
    <row r="16" spans="1:11" ht="23.25" x14ac:dyDescent="0.35">
      <c r="A16" s="62" t="s">
        <v>11</v>
      </c>
      <c r="B16" s="62">
        <v>380</v>
      </c>
      <c r="C16" s="65" t="s">
        <v>10</v>
      </c>
      <c r="E16" s="62">
        <v>10</v>
      </c>
      <c r="F16" s="63" t="s">
        <v>153</v>
      </c>
      <c r="G16" s="64">
        <v>0.19500000000000001</v>
      </c>
      <c r="H16" s="65" t="s">
        <v>156</v>
      </c>
      <c r="I16" s="66">
        <f t="shared" si="0"/>
        <v>0.39</v>
      </c>
      <c r="J16" s="67">
        <f t="shared" si="1"/>
        <v>0.97500000000000009</v>
      </c>
      <c r="K16" s="68">
        <f t="shared" si="2"/>
        <v>1.9500000000000002</v>
      </c>
    </row>
    <row r="17" spans="1:11" ht="23.25" x14ac:dyDescent="0.35">
      <c r="A17" s="62" t="s">
        <v>142</v>
      </c>
      <c r="B17" s="62">
        <v>200</v>
      </c>
      <c r="C17" s="65" t="s">
        <v>10</v>
      </c>
      <c r="E17" s="62">
        <v>50</v>
      </c>
      <c r="F17" s="63" t="s">
        <v>176</v>
      </c>
      <c r="G17" s="64">
        <v>0.38</v>
      </c>
      <c r="H17" s="65" t="s">
        <v>156</v>
      </c>
      <c r="I17" s="66">
        <f t="shared" si="0"/>
        <v>0.76</v>
      </c>
      <c r="J17" s="67">
        <f t="shared" si="1"/>
        <v>1.9</v>
      </c>
      <c r="K17" s="68">
        <f t="shared" si="2"/>
        <v>3.8</v>
      </c>
    </row>
    <row r="18" spans="1:11" ht="23.25" x14ac:dyDescent="0.35">
      <c r="A18" s="62" t="s">
        <v>177</v>
      </c>
      <c r="B18" s="62">
        <v>2</v>
      </c>
      <c r="C18" s="65" t="s">
        <v>178</v>
      </c>
      <c r="E18" s="62">
        <v>23</v>
      </c>
      <c r="F18" s="63" t="s">
        <v>179</v>
      </c>
      <c r="G18" s="64">
        <v>0.1</v>
      </c>
      <c r="H18" s="65" t="s">
        <v>180</v>
      </c>
      <c r="I18" s="66">
        <f t="shared" si="0"/>
        <v>0.2</v>
      </c>
      <c r="J18" s="67">
        <f t="shared" si="1"/>
        <v>0.5</v>
      </c>
      <c r="K18" s="68">
        <f t="shared" si="2"/>
        <v>1</v>
      </c>
    </row>
    <row r="19" spans="1:11" ht="23.25" x14ac:dyDescent="0.35">
      <c r="E19" s="62" t="s">
        <v>155</v>
      </c>
      <c r="F19" s="63" t="s">
        <v>154</v>
      </c>
      <c r="G19" s="64">
        <v>0.2</v>
      </c>
      <c r="H19" s="65" t="s">
        <v>156</v>
      </c>
      <c r="I19" s="66">
        <f t="shared" si="0"/>
        <v>0.4</v>
      </c>
      <c r="J19" s="67">
        <f t="shared" si="1"/>
        <v>1</v>
      </c>
      <c r="K19" s="68">
        <f t="shared" si="2"/>
        <v>2</v>
      </c>
    </row>
    <row r="20" spans="1:11" ht="23.25" x14ac:dyDescent="0.35">
      <c r="E20" s="69"/>
      <c r="F20" s="70" t="s">
        <v>162</v>
      </c>
      <c r="G20" s="159">
        <f t="shared" ref="G20:K20" si="3">SUM(G13:G19)</f>
        <v>1.425</v>
      </c>
      <c r="H20" s="160">
        <f>G20/0.025</f>
        <v>57</v>
      </c>
      <c r="I20" s="72">
        <f>57*2</f>
        <v>114</v>
      </c>
      <c r="J20" s="72">
        <f>H20*5</f>
        <v>285</v>
      </c>
      <c r="K20" s="161">
        <f>H20*10</f>
        <v>570</v>
      </c>
    </row>
    <row r="21" spans="1:11" ht="23.25" x14ac:dyDescent="0.35">
      <c r="E21" s="142" t="s">
        <v>164</v>
      </c>
      <c r="F21" s="143"/>
      <c r="G21" s="143"/>
      <c r="H21" s="143"/>
      <c r="I21" s="143"/>
      <c r="J21" s="143"/>
      <c r="K21" s="144"/>
    </row>
    <row r="22" spans="1:11" x14ac:dyDescent="0.25">
      <c r="E22" s="84" t="s">
        <v>165</v>
      </c>
      <c r="F22" s="84"/>
      <c r="G22" s="84"/>
      <c r="H22" s="84"/>
      <c r="I22" s="84"/>
      <c r="J22" s="84"/>
      <c r="K22" s="84"/>
    </row>
    <row r="23" spans="1:11" x14ac:dyDescent="0.25">
      <c r="E23" s="84" t="s">
        <v>166</v>
      </c>
      <c r="F23" s="84"/>
      <c r="G23" s="84"/>
      <c r="H23" s="84"/>
      <c r="I23" s="84"/>
      <c r="J23" s="84"/>
      <c r="K23" s="84"/>
    </row>
    <row r="24" spans="1:11" x14ac:dyDescent="0.25">
      <c r="E24" s="84" t="s">
        <v>167</v>
      </c>
      <c r="F24" s="84"/>
      <c r="G24" s="84"/>
      <c r="H24" s="84"/>
      <c r="I24" s="84"/>
      <c r="J24" s="84"/>
      <c r="K24" s="84"/>
    </row>
    <row r="25" spans="1:11" x14ac:dyDescent="0.25">
      <c r="E25" s="84" t="s">
        <v>168</v>
      </c>
      <c r="F25" s="84"/>
      <c r="G25" s="84"/>
      <c r="H25" s="84"/>
      <c r="I25" s="84"/>
      <c r="J25" s="84"/>
      <c r="K25" s="84"/>
    </row>
    <row r="26" spans="1:11" x14ac:dyDescent="0.25">
      <c r="E26" s="84" t="s">
        <v>169</v>
      </c>
      <c r="F26" s="84"/>
      <c r="G26" s="84"/>
      <c r="H26" s="84"/>
      <c r="I26" s="84"/>
      <c r="J26" s="84"/>
      <c r="K26" s="84"/>
    </row>
    <row r="27" spans="1:11" x14ac:dyDescent="0.25">
      <c r="E27" s="84" t="s">
        <v>170</v>
      </c>
      <c r="F27" s="84"/>
      <c r="G27" s="84"/>
      <c r="H27" s="84"/>
      <c r="I27" s="84"/>
      <c r="J27" s="84"/>
      <c r="K27" s="84"/>
    </row>
    <row r="28" spans="1:11" x14ac:dyDescent="0.25">
      <c r="E28" s="84" t="s">
        <v>171</v>
      </c>
      <c r="F28" s="84"/>
      <c r="G28" s="84"/>
      <c r="H28" s="84"/>
      <c r="I28" s="84"/>
      <c r="J28" s="84"/>
      <c r="K28" s="84"/>
    </row>
    <row r="29" spans="1:11" x14ac:dyDescent="0.25">
      <c r="E29" s="84" t="s">
        <v>172</v>
      </c>
      <c r="F29" s="84"/>
      <c r="G29" s="84"/>
      <c r="H29" s="84"/>
      <c r="I29" s="84"/>
      <c r="J29" s="84"/>
      <c r="K29" s="84"/>
    </row>
    <row r="30" spans="1:11" ht="18.75" x14ac:dyDescent="0.3">
      <c r="E30" s="146" t="s">
        <v>173</v>
      </c>
      <c r="F30" s="147"/>
      <c r="G30" s="147"/>
      <c r="H30" s="147"/>
      <c r="I30" s="148"/>
      <c r="J30" s="83" t="s">
        <v>136</v>
      </c>
      <c r="K30" s="83"/>
    </row>
    <row r="31" spans="1:11" x14ac:dyDescent="0.25">
      <c r="E31" s="84" t="s">
        <v>174</v>
      </c>
      <c r="F31" s="84"/>
      <c r="G31" s="84"/>
      <c r="H31" s="84"/>
      <c r="I31" s="84"/>
      <c r="J31" s="81"/>
      <c r="K31" s="81"/>
    </row>
    <row r="32" spans="1:11" x14ac:dyDescent="0.25">
      <c r="E32" s="81"/>
      <c r="F32" s="81"/>
      <c r="G32" s="81"/>
      <c r="H32" s="81"/>
      <c r="I32" s="81"/>
      <c r="J32" s="81"/>
      <c r="K32" s="81"/>
    </row>
    <row r="33" spans="5:11" x14ac:dyDescent="0.25">
      <c r="E33" s="81"/>
      <c r="F33" s="81"/>
      <c r="G33" s="81"/>
      <c r="H33" s="81"/>
      <c r="I33" s="81"/>
      <c r="J33" s="81"/>
      <c r="K33" s="81"/>
    </row>
    <row r="34" spans="5:11" x14ac:dyDescent="0.25">
      <c r="E34" s="81"/>
      <c r="F34" s="81"/>
      <c r="G34" s="81"/>
      <c r="H34" s="81"/>
      <c r="I34" s="81"/>
      <c r="J34" s="81"/>
      <c r="K34" s="81"/>
    </row>
    <row r="35" spans="5:11" x14ac:dyDescent="0.25">
      <c r="E35" s="81"/>
      <c r="F35" s="81"/>
      <c r="G35" s="81"/>
      <c r="H35" s="81"/>
      <c r="I35" s="81"/>
      <c r="J35" s="81"/>
      <c r="K35" s="81"/>
    </row>
    <row r="36" spans="5:11" x14ac:dyDescent="0.25">
      <c r="E36" s="76" t="s">
        <v>126</v>
      </c>
      <c r="F36" s="76"/>
      <c r="G36" s="76"/>
      <c r="H36" s="76"/>
      <c r="I36" s="76" t="s">
        <v>127</v>
      </c>
      <c r="J36" s="76"/>
      <c r="K36" s="76"/>
    </row>
    <row r="37" spans="5:11" x14ac:dyDescent="0.25">
      <c r="E37" s="149" t="s">
        <v>175</v>
      </c>
      <c r="F37" s="150"/>
      <c r="G37" s="150"/>
      <c r="H37" s="151"/>
      <c r="I37" s="155" t="s">
        <v>175</v>
      </c>
      <c r="J37" s="155"/>
      <c r="K37" s="155"/>
    </row>
    <row r="38" spans="5:11" x14ac:dyDescent="0.25">
      <c r="E38" s="152"/>
      <c r="F38" s="153"/>
      <c r="G38" s="153"/>
      <c r="H38" s="154"/>
      <c r="I38" s="155"/>
      <c r="J38" s="155"/>
      <c r="K38" s="155"/>
    </row>
  </sheetData>
  <mergeCells count="31">
    <mergeCell ref="E30:I30"/>
    <mergeCell ref="E4:K6"/>
    <mergeCell ref="E7:K7"/>
    <mergeCell ref="E8:G8"/>
    <mergeCell ref="H8:K8"/>
    <mergeCell ref="E9:G9"/>
    <mergeCell ref="H9:K9"/>
    <mergeCell ref="E27:K27"/>
    <mergeCell ref="E28:K28"/>
    <mergeCell ref="E29:K29"/>
    <mergeCell ref="E10:G10"/>
    <mergeCell ref="H10:K10"/>
    <mergeCell ref="E11:K11"/>
    <mergeCell ref="E21:K21"/>
    <mergeCell ref="E22:K22"/>
    <mergeCell ref="E23:K23"/>
    <mergeCell ref="E36:H36"/>
    <mergeCell ref="I36:K36"/>
    <mergeCell ref="E37:H38"/>
    <mergeCell ref="I37:K38"/>
    <mergeCell ref="A10:C11"/>
    <mergeCell ref="J30:K30"/>
    <mergeCell ref="E31:I31"/>
    <mergeCell ref="J31:K35"/>
    <mergeCell ref="E32:I32"/>
    <mergeCell ref="E33:I33"/>
    <mergeCell ref="E34:I34"/>
    <mergeCell ref="E35:I35"/>
    <mergeCell ref="E24:K24"/>
    <mergeCell ref="E25:K25"/>
    <mergeCell ref="E26:K2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272F-C627-4F3A-A2F2-3F013FE5771D}">
  <dimension ref="B3:L38"/>
  <sheetViews>
    <sheetView topLeftCell="A10" zoomScale="60" zoomScaleNormal="60" workbookViewId="0">
      <selection activeCell="F22" sqref="F22:L27"/>
    </sheetView>
  </sheetViews>
  <sheetFormatPr baseColWidth="10" defaultRowHeight="15" x14ac:dyDescent="0.25"/>
  <cols>
    <col min="2" max="2" width="26.140625" customWidth="1"/>
    <col min="3" max="3" width="15.7109375" customWidth="1"/>
    <col min="4" max="4" width="18.5703125" customWidth="1"/>
    <col min="5" max="5" width="9.28515625" customWidth="1"/>
    <col min="6" max="6" width="12.7109375" customWidth="1"/>
    <col min="7" max="7" width="41.85546875" customWidth="1"/>
    <col min="8" max="8" width="18.5703125" customWidth="1"/>
    <col min="9" max="9" width="16.85546875" customWidth="1"/>
    <col min="10" max="10" width="20.5703125" customWidth="1"/>
    <col min="11" max="11" width="19.42578125" customWidth="1"/>
    <col min="12" max="12" width="17.85546875" customWidth="1"/>
  </cols>
  <sheetData>
    <row r="3" spans="2:12" x14ac:dyDescent="0.25">
      <c r="B3" t="s">
        <v>158</v>
      </c>
      <c r="C3" t="s">
        <v>159</v>
      </c>
      <c r="D3" t="s">
        <v>160</v>
      </c>
      <c r="E3" t="s">
        <v>161</v>
      </c>
    </row>
    <row r="4" spans="2:12" x14ac:dyDescent="0.25">
      <c r="B4" t="s">
        <v>158</v>
      </c>
      <c r="C4">
        <v>2</v>
      </c>
      <c r="D4">
        <v>2</v>
      </c>
      <c r="E4">
        <v>3</v>
      </c>
      <c r="F4" s="86" t="s">
        <v>12</v>
      </c>
      <c r="G4" s="86"/>
      <c r="H4" s="86"/>
      <c r="I4" s="86"/>
      <c r="J4" s="86"/>
      <c r="K4" s="86"/>
      <c r="L4" s="86"/>
    </row>
    <row r="5" spans="2:12" x14ac:dyDescent="0.25">
      <c r="B5" t="s">
        <v>158</v>
      </c>
      <c r="C5">
        <v>0</v>
      </c>
      <c r="D5">
        <v>2</v>
      </c>
      <c r="E5">
        <v>3</v>
      </c>
      <c r="F5" s="86"/>
      <c r="G5" s="86"/>
      <c r="H5" s="86"/>
      <c r="I5" s="86"/>
      <c r="J5" s="86"/>
      <c r="K5" s="86"/>
      <c r="L5" s="86"/>
    </row>
    <row r="6" spans="2:12" x14ac:dyDescent="0.25">
      <c r="F6" s="86"/>
      <c r="G6" s="86"/>
      <c r="H6" s="86"/>
      <c r="I6" s="86"/>
      <c r="J6" s="86"/>
      <c r="K6" s="86"/>
      <c r="L6" s="86"/>
    </row>
    <row r="7" spans="2:12" ht="26.25" x14ac:dyDescent="0.4">
      <c r="F7" s="87" t="s">
        <v>121</v>
      </c>
      <c r="G7" s="87"/>
      <c r="H7" s="87"/>
      <c r="I7" s="87"/>
      <c r="J7" s="87"/>
      <c r="K7" s="87"/>
      <c r="L7" s="87"/>
    </row>
    <row r="8" spans="2:12" ht="18.75" x14ac:dyDescent="0.3">
      <c r="F8" s="85" t="s">
        <v>143</v>
      </c>
      <c r="G8" s="85"/>
      <c r="H8" s="85"/>
      <c r="I8" s="88" t="s">
        <v>147</v>
      </c>
      <c r="J8" s="88"/>
      <c r="K8" s="88"/>
      <c r="L8" s="88"/>
    </row>
    <row r="9" spans="2:12" ht="18.75" x14ac:dyDescent="0.3">
      <c r="F9" s="89" t="s">
        <v>144</v>
      </c>
      <c r="G9" s="89"/>
      <c r="H9" s="89"/>
      <c r="I9" s="85" t="s">
        <v>148</v>
      </c>
      <c r="J9" s="85"/>
      <c r="K9" s="85"/>
      <c r="L9" s="85"/>
    </row>
    <row r="10" spans="2:12" ht="28.5" x14ac:dyDescent="0.3">
      <c r="B10" s="82" t="s">
        <v>95</v>
      </c>
      <c r="C10" s="82"/>
      <c r="D10" s="82"/>
      <c r="E10" s="75"/>
      <c r="F10" s="85" t="s">
        <v>145</v>
      </c>
      <c r="G10" s="85"/>
      <c r="H10" s="85"/>
      <c r="I10" s="85" t="s">
        <v>149</v>
      </c>
      <c r="J10" s="85"/>
      <c r="K10" s="85"/>
      <c r="L10" s="85"/>
    </row>
    <row r="11" spans="2:12" ht="28.5" x14ac:dyDescent="0.3">
      <c r="B11" s="82"/>
      <c r="C11" s="82"/>
      <c r="D11" s="82"/>
      <c r="E11" s="75"/>
      <c r="F11" s="85" t="s">
        <v>146</v>
      </c>
      <c r="G11" s="85"/>
      <c r="H11" s="85"/>
      <c r="I11" s="85"/>
      <c r="J11" s="85"/>
      <c r="K11" s="85"/>
      <c r="L11" s="85"/>
    </row>
    <row r="12" spans="2:12" ht="18.75" x14ac:dyDescent="0.3">
      <c r="B12" s="62" t="s">
        <v>102</v>
      </c>
      <c r="C12" s="62">
        <v>1</v>
      </c>
      <c r="D12" s="65" t="s">
        <v>138</v>
      </c>
      <c r="F12" s="26" t="s">
        <v>0</v>
      </c>
      <c r="G12" s="56" t="s">
        <v>13</v>
      </c>
      <c r="H12" s="57" t="s">
        <v>6</v>
      </c>
      <c r="I12" s="58" t="s">
        <v>14</v>
      </c>
      <c r="J12" s="59" t="s">
        <v>122</v>
      </c>
      <c r="K12" s="60" t="s">
        <v>123</v>
      </c>
      <c r="L12" s="61" t="s">
        <v>124</v>
      </c>
    </row>
    <row r="13" spans="2:12" ht="23.25" x14ac:dyDescent="0.35">
      <c r="B13" s="62" t="s">
        <v>125</v>
      </c>
      <c r="C13" s="62">
        <v>1.5</v>
      </c>
      <c r="D13" s="65" t="s">
        <v>139</v>
      </c>
      <c r="F13" s="62">
        <v>25</v>
      </c>
      <c r="G13" s="63" t="s">
        <v>150</v>
      </c>
      <c r="H13" s="64">
        <v>0.2</v>
      </c>
      <c r="I13" s="65" t="s">
        <v>156</v>
      </c>
      <c r="J13" s="66">
        <f>H13*2</f>
        <v>0.4</v>
      </c>
      <c r="K13" s="67">
        <f>H13*5</f>
        <v>1</v>
      </c>
      <c r="L13" s="68">
        <f>H13*10</f>
        <v>2</v>
      </c>
    </row>
    <row r="14" spans="2:12" ht="23.25" x14ac:dyDescent="0.35">
      <c r="B14" s="62" t="s">
        <v>103</v>
      </c>
      <c r="C14" s="62">
        <v>2</v>
      </c>
      <c r="D14" s="65" t="s">
        <v>140</v>
      </c>
      <c r="F14" s="62">
        <v>30</v>
      </c>
      <c r="G14" s="63" t="s">
        <v>151</v>
      </c>
      <c r="H14" s="64">
        <f>0.22*1.5</f>
        <v>0.33</v>
      </c>
      <c r="I14" s="65" t="s">
        <v>156</v>
      </c>
      <c r="J14" s="66">
        <f t="shared" ref="J14:J19" si="0">H14*2</f>
        <v>0.66</v>
      </c>
      <c r="K14" s="67">
        <f t="shared" ref="K14:K19" si="1">H14*5</f>
        <v>1.6500000000000001</v>
      </c>
      <c r="L14" s="68">
        <f t="shared" ref="L14:L19" si="2">H14*10</f>
        <v>3.3000000000000003</v>
      </c>
    </row>
    <row r="15" spans="2:12" ht="23.25" x14ac:dyDescent="0.35">
      <c r="B15" s="62" t="s">
        <v>104</v>
      </c>
      <c r="C15" s="74">
        <v>0.75</v>
      </c>
      <c r="D15" s="65" t="s">
        <v>141</v>
      </c>
      <c r="F15" s="62">
        <v>29</v>
      </c>
      <c r="G15" s="63" t="s">
        <v>152</v>
      </c>
      <c r="H15" s="64">
        <v>0.02</v>
      </c>
      <c r="I15" s="65" t="s">
        <v>157</v>
      </c>
      <c r="J15" s="66">
        <f t="shared" si="0"/>
        <v>0.04</v>
      </c>
      <c r="K15" s="67">
        <f t="shared" si="1"/>
        <v>0.1</v>
      </c>
      <c r="L15" s="68">
        <f t="shared" si="2"/>
        <v>0.2</v>
      </c>
    </row>
    <row r="16" spans="2:12" ht="23.25" x14ac:dyDescent="0.35">
      <c r="B16" s="62" t="s">
        <v>11</v>
      </c>
      <c r="C16" s="62">
        <v>380</v>
      </c>
      <c r="D16" s="65" t="s">
        <v>10</v>
      </c>
      <c r="F16" s="62">
        <v>10</v>
      </c>
      <c r="G16" s="63" t="s">
        <v>153</v>
      </c>
      <c r="H16" s="64">
        <v>0.19500000000000001</v>
      </c>
      <c r="I16" s="65" t="s">
        <v>156</v>
      </c>
      <c r="J16" s="66">
        <f t="shared" si="0"/>
        <v>0.39</v>
      </c>
      <c r="K16" s="67">
        <f t="shared" si="1"/>
        <v>0.97500000000000009</v>
      </c>
      <c r="L16" s="68">
        <f t="shared" si="2"/>
        <v>1.9500000000000002</v>
      </c>
    </row>
    <row r="17" spans="2:12" ht="23.25" x14ac:dyDescent="0.35">
      <c r="B17" s="62" t="s">
        <v>142</v>
      </c>
      <c r="C17" s="62">
        <v>200</v>
      </c>
      <c r="D17" s="65" t="s">
        <v>10</v>
      </c>
      <c r="F17" s="62">
        <v>50</v>
      </c>
      <c r="G17" s="63" t="s">
        <v>176</v>
      </c>
      <c r="H17" s="64">
        <v>0.38</v>
      </c>
      <c r="I17" s="65" t="s">
        <v>156</v>
      </c>
      <c r="J17" s="66">
        <f t="shared" si="0"/>
        <v>0.76</v>
      </c>
      <c r="K17" s="67">
        <f t="shared" si="1"/>
        <v>1.9</v>
      </c>
      <c r="L17" s="68">
        <f t="shared" si="2"/>
        <v>3.8</v>
      </c>
    </row>
    <row r="18" spans="2:12" ht="23.25" x14ac:dyDescent="0.35">
      <c r="B18" s="62" t="s">
        <v>177</v>
      </c>
      <c r="C18" s="62">
        <v>2</v>
      </c>
      <c r="D18" s="65" t="s">
        <v>178</v>
      </c>
      <c r="F18" s="62">
        <v>23</v>
      </c>
      <c r="G18" s="63" t="s">
        <v>179</v>
      </c>
      <c r="H18" s="64">
        <v>0.1</v>
      </c>
      <c r="I18" s="65" t="s">
        <v>180</v>
      </c>
      <c r="J18" s="66">
        <f t="shared" si="0"/>
        <v>0.2</v>
      </c>
      <c r="K18" s="67">
        <f t="shared" si="1"/>
        <v>0.5</v>
      </c>
      <c r="L18" s="68">
        <f t="shared" si="2"/>
        <v>1</v>
      </c>
    </row>
    <row r="19" spans="2:12" ht="23.25" x14ac:dyDescent="0.35">
      <c r="F19" s="62" t="s">
        <v>155</v>
      </c>
      <c r="G19" s="63" t="s">
        <v>154</v>
      </c>
      <c r="H19" s="64">
        <v>0.2</v>
      </c>
      <c r="I19" s="65" t="s">
        <v>156</v>
      </c>
      <c r="J19" s="66">
        <f t="shared" si="0"/>
        <v>0.4</v>
      </c>
      <c r="K19" s="67">
        <f t="shared" si="1"/>
        <v>1</v>
      </c>
      <c r="L19" s="68">
        <f t="shared" si="2"/>
        <v>2</v>
      </c>
    </row>
    <row r="20" spans="2:12" ht="23.25" x14ac:dyDescent="0.35">
      <c r="F20" s="69"/>
      <c r="G20" s="70" t="s">
        <v>162</v>
      </c>
      <c r="H20" s="71" t="s">
        <v>163</v>
      </c>
      <c r="I20" s="141">
        <f>1.32/0.025</f>
        <v>52.8</v>
      </c>
      <c r="J20" s="72">
        <f>I20*2</f>
        <v>105.6</v>
      </c>
      <c r="K20" s="72">
        <f>I20*5</f>
        <v>264</v>
      </c>
      <c r="L20" s="73">
        <f>I20*10</f>
        <v>528</v>
      </c>
    </row>
    <row r="21" spans="2:12" ht="23.25" x14ac:dyDescent="0.35">
      <c r="F21" s="142" t="s">
        <v>164</v>
      </c>
      <c r="G21" s="143"/>
      <c r="H21" s="143"/>
      <c r="I21" s="143"/>
      <c r="J21" s="143"/>
      <c r="K21" s="143"/>
      <c r="L21" s="144"/>
    </row>
    <row r="22" spans="2:12" x14ac:dyDescent="0.25">
      <c r="F22" s="84" t="s">
        <v>165</v>
      </c>
      <c r="G22" s="84"/>
      <c r="H22" s="84"/>
      <c r="I22" s="84"/>
      <c r="J22" s="84"/>
      <c r="K22" s="84"/>
      <c r="L22" s="84"/>
    </row>
    <row r="23" spans="2:12" x14ac:dyDescent="0.25">
      <c r="F23" s="84" t="s">
        <v>166</v>
      </c>
      <c r="G23" s="84"/>
      <c r="H23" s="84"/>
      <c r="I23" s="84"/>
      <c r="J23" s="84"/>
      <c r="K23" s="84"/>
      <c r="L23" s="84"/>
    </row>
    <row r="24" spans="2:12" x14ac:dyDescent="0.25">
      <c r="F24" s="84" t="s">
        <v>167</v>
      </c>
      <c r="G24" s="84"/>
      <c r="H24" s="84"/>
      <c r="I24" s="84"/>
      <c r="J24" s="84"/>
      <c r="K24" s="84"/>
      <c r="L24" s="84"/>
    </row>
    <row r="25" spans="2:12" x14ac:dyDescent="0.25">
      <c r="F25" s="84" t="s">
        <v>168</v>
      </c>
      <c r="G25" s="84"/>
      <c r="H25" s="84"/>
      <c r="I25" s="84"/>
      <c r="J25" s="84"/>
      <c r="K25" s="84"/>
      <c r="L25" s="84"/>
    </row>
    <row r="26" spans="2:12" x14ac:dyDescent="0.25">
      <c r="F26" s="84" t="s">
        <v>169</v>
      </c>
      <c r="G26" s="84"/>
      <c r="H26" s="84"/>
      <c r="I26" s="84"/>
      <c r="J26" s="84"/>
      <c r="K26" s="84"/>
      <c r="L26" s="84"/>
    </row>
    <row r="27" spans="2:12" x14ac:dyDescent="0.25">
      <c r="F27" s="84" t="s">
        <v>170</v>
      </c>
      <c r="G27" s="84"/>
      <c r="H27" s="84"/>
      <c r="I27" s="84"/>
      <c r="J27" s="84"/>
      <c r="K27" s="84"/>
      <c r="L27" s="84"/>
    </row>
    <row r="28" spans="2:12" x14ac:dyDescent="0.25">
      <c r="F28" s="84" t="s">
        <v>171</v>
      </c>
      <c r="G28" s="84"/>
      <c r="H28" s="84"/>
      <c r="I28" s="84"/>
      <c r="J28" s="84"/>
      <c r="K28" s="84"/>
      <c r="L28" s="84"/>
    </row>
    <row r="29" spans="2:12" x14ac:dyDescent="0.25">
      <c r="F29" s="84" t="s">
        <v>172</v>
      </c>
      <c r="G29" s="84"/>
      <c r="H29" s="84"/>
      <c r="I29" s="84"/>
      <c r="J29" s="84"/>
      <c r="K29" s="84"/>
      <c r="L29" s="84"/>
    </row>
    <row r="30" spans="2:12" ht="18.75" x14ac:dyDescent="0.3">
      <c r="F30" s="146" t="s">
        <v>173</v>
      </c>
      <c r="G30" s="147"/>
      <c r="H30" s="147"/>
      <c r="I30" s="147"/>
      <c r="J30" s="148"/>
      <c r="K30" s="83" t="s">
        <v>136</v>
      </c>
      <c r="L30" s="83"/>
    </row>
    <row r="31" spans="2:12" x14ac:dyDescent="0.25">
      <c r="F31" s="84" t="s">
        <v>174</v>
      </c>
      <c r="G31" s="84"/>
      <c r="H31" s="84"/>
      <c r="I31" s="84"/>
      <c r="J31" s="84"/>
      <c r="K31" s="81"/>
      <c r="L31" s="81"/>
    </row>
    <row r="32" spans="2:12" x14ac:dyDescent="0.25">
      <c r="F32" s="81"/>
      <c r="G32" s="81"/>
      <c r="H32" s="81"/>
      <c r="I32" s="81"/>
      <c r="J32" s="81"/>
      <c r="K32" s="81"/>
      <c r="L32" s="81"/>
    </row>
    <row r="33" spans="6:12" x14ac:dyDescent="0.25">
      <c r="F33" s="81"/>
      <c r="G33" s="81"/>
      <c r="H33" s="81"/>
      <c r="I33" s="81"/>
      <c r="J33" s="81"/>
      <c r="K33" s="81"/>
      <c r="L33" s="81"/>
    </row>
    <row r="34" spans="6:12" x14ac:dyDescent="0.25">
      <c r="F34" s="81"/>
      <c r="G34" s="81"/>
      <c r="H34" s="81"/>
      <c r="I34" s="81"/>
      <c r="J34" s="81"/>
      <c r="K34" s="81"/>
      <c r="L34" s="81"/>
    </row>
    <row r="35" spans="6:12" x14ac:dyDescent="0.25">
      <c r="F35" s="81"/>
      <c r="G35" s="81"/>
      <c r="H35" s="81"/>
      <c r="I35" s="81"/>
      <c r="J35" s="81"/>
      <c r="K35" s="81"/>
      <c r="L35" s="81"/>
    </row>
    <row r="36" spans="6:12" x14ac:dyDescent="0.25">
      <c r="F36" s="76" t="s">
        <v>126</v>
      </c>
      <c r="G36" s="76"/>
      <c r="H36" s="76"/>
      <c r="I36" s="76"/>
      <c r="J36" s="76" t="s">
        <v>127</v>
      </c>
      <c r="K36" s="76"/>
      <c r="L36" s="76"/>
    </row>
    <row r="37" spans="6:12" x14ac:dyDescent="0.25">
      <c r="F37" s="149" t="s">
        <v>175</v>
      </c>
      <c r="G37" s="150"/>
      <c r="H37" s="150"/>
      <c r="I37" s="151"/>
      <c r="J37" s="155" t="s">
        <v>175</v>
      </c>
      <c r="K37" s="155"/>
      <c r="L37" s="155"/>
    </row>
    <row r="38" spans="6:12" x14ac:dyDescent="0.25">
      <c r="F38" s="152"/>
      <c r="G38" s="153"/>
      <c r="H38" s="153"/>
      <c r="I38" s="154"/>
      <c r="J38" s="155"/>
      <c r="K38" s="155"/>
      <c r="L38" s="155"/>
    </row>
  </sheetData>
  <mergeCells count="31">
    <mergeCell ref="F36:I36"/>
    <mergeCell ref="J36:L36"/>
    <mergeCell ref="F37:I38"/>
    <mergeCell ref="J37:L38"/>
    <mergeCell ref="F29:L29"/>
    <mergeCell ref="F30:J30"/>
    <mergeCell ref="K30:L30"/>
    <mergeCell ref="F31:J31"/>
    <mergeCell ref="K31:L35"/>
    <mergeCell ref="F32:J32"/>
    <mergeCell ref="F33:J33"/>
    <mergeCell ref="F34:J34"/>
    <mergeCell ref="F35:J35"/>
    <mergeCell ref="F23:L23"/>
    <mergeCell ref="F24:L24"/>
    <mergeCell ref="F25:L25"/>
    <mergeCell ref="F26:L26"/>
    <mergeCell ref="F27:L27"/>
    <mergeCell ref="F28:L28"/>
    <mergeCell ref="B10:D11"/>
    <mergeCell ref="F10:H10"/>
    <mergeCell ref="I10:L10"/>
    <mergeCell ref="F11:L11"/>
    <mergeCell ref="F21:L21"/>
    <mergeCell ref="F22:L22"/>
    <mergeCell ref="F4:L6"/>
    <mergeCell ref="F7:L7"/>
    <mergeCell ref="F8:H8"/>
    <mergeCell ref="I8:L8"/>
    <mergeCell ref="F9:H9"/>
    <mergeCell ref="I9:L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7BC2F-651C-4B14-B708-30537E2558B9}">
  <dimension ref="A4:K27"/>
  <sheetViews>
    <sheetView topLeftCell="B8" workbookViewId="0">
      <selection activeCell="J27" sqref="J27"/>
    </sheetView>
  </sheetViews>
  <sheetFormatPr baseColWidth="10" defaultRowHeight="15" x14ac:dyDescent="0.25"/>
  <cols>
    <col min="2" max="2" width="20.140625" customWidth="1"/>
    <col min="4" max="4" width="20.7109375" customWidth="1"/>
    <col min="5" max="5" width="19.42578125" customWidth="1"/>
    <col min="6" max="6" width="16.28515625" customWidth="1"/>
    <col min="7" max="7" width="36.28515625" customWidth="1"/>
    <col min="8" max="8" width="15.85546875" customWidth="1"/>
    <col min="9" max="9" width="24" customWidth="1"/>
  </cols>
  <sheetData>
    <row r="4" spans="1:11" ht="33" customHeight="1" x14ac:dyDescent="0.25">
      <c r="C4" s="162" t="s">
        <v>128</v>
      </c>
      <c r="D4" s="163"/>
      <c r="E4" s="163"/>
      <c r="F4" s="163"/>
      <c r="G4" s="163"/>
      <c r="H4" s="164"/>
      <c r="I4" s="221"/>
    </row>
    <row r="5" spans="1:11" x14ac:dyDescent="0.25">
      <c r="C5" s="96" t="s">
        <v>181</v>
      </c>
      <c r="D5" s="97"/>
      <c r="E5" s="98"/>
      <c r="F5" s="96" t="s">
        <v>144</v>
      </c>
      <c r="G5" s="97"/>
      <c r="H5" s="98"/>
      <c r="I5" s="222"/>
    </row>
    <row r="6" spans="1:11" ht="18.75" x14ac:dyDescent="0.3">
      <c r="C6" s="99" t="s">
        <v>182</v>
      </c>
      <c r="D6" s="100"/>
      <c r="E6" s="100"/>
      <c r="F6" s="100"/>
      <c r="G6" s="100"/>
      <c r="H6" s="101"/>
      <c r="I6" s="223"/>
    </row>
    <row r="7" spans="1:11" ht="18.75" x14ac:dyDescent="0.3">
      <c r="C7" s="62" t="s">
        <v>0</v>
      </c>
      <c r="D7" s="62" t="s">
        <v>129</v>
      </c>
      <c r="E7" s="62" t="s">
        <v>6</v>
      </c>
      <c r="F7" s="62" t="s">
        <v>1</v>
      </c>
      <c r="G7" s="62" t="s">
        <v>188</v>
      </c>
      <c r="H7" s="171" t="s">
        <v>7</v>
      </c>
      <c r="I7" s="171" t="s">
        <v>220</v>
      </c>
    </row>
    <row r="8" spans="1:11" ht="21" x14ac:dyDescent="0.35">
      <c r="C8" s="62">
        <v>60</v>
      </c>
      <c r="D8" s="25" t="s">
        <v>183</v>
      </c>
      <c r="E8" s="167">
        <v>0.5</v>
      </c>
      <c r="F8" s="167" t="s">
        <v>180</v>
      </c>
      <c r="G8" s="169">
        <v>90</v>
      </c>
      <c r="H8" s="173">
        <f>E8*G8</f>
        <v>45</v>
      </c>
      <c r="I8" s="173">
        <f>0.635*90</f>
        <v>57.15</v>
      </c>
      <c r="J8">
        <v>220</v>
      </c>
      <c r="K8">
        <v>23</v>
      </c>
    </row>
    <row r="9" spans="1:11" ht="21" x14ac:dyDescent="0.35">
      <c r="C9" s="62">
        <v>31</v>
      </c>
      <c r="D9" s="165" t="s">
        <v>184</v>
      </c>
      <c r="E9" s="167">
        <v>0.5</v>
      </c>
      <c r="F9" s="167" t="s">
        <v>180</v>
      </c>
      <c r="G9" s="169">
        <v>22</v>
      </c>
      <c r="H9" s="173">
        <f>E9*G9</f>
        <v>11</v>
      </c>
      <c r="I9" s="173">
        <v>11</v>
      </c>
      <c r="K9">
        <f>J9*K8/J8</f>
        <v>0</v>
      </c>
    </row>
    <row r="10" spans="1:11" ht="21" x14ac:dyDescent="0.35">
      <c r="A10" s="170" t="s">
        <v>189</v>
      </c>
      <c r="B10" s="116"/>
      <c r="C10" s="62">
        <v>16</v>
      </c>
      <c r="D10" s="166" t="s">
        <v>185</v>
      </c>
      <c r="E10" s="167">
        <v>0.01</v>
      </c>
      <c r="F10" s="167" t="s">
        <v>180</v>
      </c>
      <c r="G10" s="168">
        <v>104.54</v>
      </c>
      <c r="H10" s="173">
        <f>E10*G10</f>
        <v>1.0454000000000001</v>
      </c>
      <c r="I10" s="173">
        <v>1.05</v>
      </c>
    </row>
    <row r="11" spans="1:11" ht="21" x14ac:dyDescent="0.35">
      <c r="A11" s="170" t="s">
        <v>190</v>
      </c>
      <c r="B11" s="116"/>
      <c r="C11" s="62">
        <v>47</v>
      </c>
      <c r="D11" s="25" t="s">
        <v>186</v>
      </c>
      <c r="E11" s="167">
        <v>0.04</v>
      </c>
      <c r="F11" s="167" t="s">
        <v>180</v>
      </c>
      <c r="G11" s="169">
        <v>138.57</v>
      </c>
      <c r="H11" s="173">
        <f>E11*G11</f>
        <v>5.5427999999999997</v>
      </c>
      <c r="I11" s="173">
        <v>5.54</v>
      </c>
    </row>
    <row r="12" spans="1:11" ht="21" x14ac:dyDescent="0.35">
      <c r="C12" s="62">
        <v>49</v>
      </c>
      <c r="D12" s="25" t="s">
        <v>187</v>
      </c>
      <c r="E12" s="167">
        <v>0.01</v>
      </c>
      <c r="F12" s="167" t="s">
        <v>180</v>
      </c>
      <c r="G12" s="169">
        <v>120</v>
      </c>
      <c r="H12" s="173">
        <f>E12*G12</f>
        <v>1.2</v>
      </c>
      <c r="I12" s="173">
        <v>1.2</v>
      </c>
      <c r="J12">
        <v>700</v>
      </c>
      <c r="K12">
        <v>97</v>
      </c>
    </row>
    <row r="13" spans="1:11" ht="26.25" x14ac:dyDescent="0.4">
      <c r="A13" t="s">
        <v>191</v>
      </c>
      <c r="C13" s="1"/>
      <c r="D13" s="1"/>
      <c r="E13" s="227">
        <f>SUM(E8:E12)</f>
        <v>1.06</v>
      </c>
      <c r="F13" s="176" t="s">
        <v>156</v>
      </c>
      <c r="G13" s="1"/>
      <c r="H13" s="174"/>
      <c r="I13" s="174"/>
      <c r="J13">
        <v>1000</v>
      </c>
      <c r="K13">
        <f>J13*K12/J12</f>
        <v>138.57142857142858</v>
      </c>
    </row>
    <row r="14" spans="1:11" ht="21" x14ac:dyDescent="0.35">
      <c r="C14" s="1"/>
      <c r="D14" s="1"/>
      <c r="E14" s="177">
        <f>E13-0.042</f>
        <v>1.018</v>
      </c>
      <c r="F14" s="178" t="s">
        <v>193</v>
      </c>
      <c r="H14" s="174"/>
      <c r="I14" s="174"/>
    </row>
    <row r="15" spans="1:11" ht="15.75" x14ac:dyDescent="0.25">
      <c r="C15" s="90" t="s">
        <v>137</v>
      </c>
      <c r="D15" s="91"/>
      <c r="E15" s="91"/>
      <c r="F15" s="92"/>
      <c r="G15" s="179" t="s">
        <v>130</v>
      </c>
      <c r="H15" s="180">
        <f>SUM(H8:H14)</f>
        <v>63.788200000000003</v>
      </c>
      <c r="I15" s="180">
        <f>SUM(I8:I14)</f>
        <v>75.940000000000012</v>
      </c>
      <c r="J15">
        <v>1.06</v>
      </c>
      <c r="K15">
        <v>100</v>
      </c>
    </row>
    <row r="16" spans="1:11" ht="18.75" x14ac:dyDescent="0.3">
      <c r="A16" s="216">
        <v>0.5</v>
      </c>
      <c r="B16" s="216" t="s">
        <v>217</v>
      </c>
      <c r="C16" s="146" t="s">
        <v>194</v>
      </c>
      <c r="D16" s="147"/>
      <c r="E16" s="147"/>
      <c r="F16" s="148"/>
      <c r="G16" s="184" t="s">
        <v>131</v>
      </c>
      <c r="H16" s="175" t="s">
        <v>192</v>
      </c>
      <c r="I16" s="175" t="s">
        <v>192</v>
      </c>
      <c r="J16">
        <f>K16*J15</f>
        <v>4.24</v>
      </c>
      <c r="K16">
        <v>4</v>
      </c>
    </row>
    <row r="17" spans="1:11" ht="18.75" x14ac:dyDescent="0.3">
      <c r="A17" s="216">
        <v>0.39500000000000002</v>
      </c>
      <c r="B17" s="216" t="s">
        <v>98</v>
      </c>
      <c r="C17" s="146" t="s">
        <v>195</v>
      </c>
      <c r="D17" s="147"/>
      <c r="E17" s="147"/>
      <c r="F17" s="148"/>
      <c r="G17" s="181" t="s">
        <v>132</v>
      </c>
      <c r="H17" s="226">
        <v>63.79</v>
      </c>
      <c r="I17" s="226">
        <v>75.94</v>
      </c>
      <c r="J17">
        <f>J16/100</f>
        <v>4.24E-2</v>
      </c>
    </row>
    <row r="18" spans="1:11" ht="15.75" x14ac:dyDescent="0.25">
      <c r="C18" s="146" t="s">
        <v>196</v>
      </c>
      <c r="D18" s="147"/>
      <c r="E18" s="147"/>
      <c r="F18" s="148"/>
      <c r="G18" s="172" t="s">
        <v>133</v>
      </c>
      <c r="H18" s="182">
        <v>12.75</v>
      </c>
      <c r="I18" s="182">
        <v>14.89</v>
      </c>
    </row>
    <row r="19" spans="1:11" ht="18.75" x14ac:dyDescent="0.3">
      <c r="A19" s="217" t="s">
        <v>218</v>
      </c>
      <c r="B19" s="219" t="s">
        <v>219</v>
      </c>
      <c r="C19" s="156" t="s">
        <v>197</v>
      </c>
      <c r="D19" s="157"/>
      <c r="E19" s="157"/>
      <c r="F19" s="158"/>
      <c r="G19" s="76" t="s">
        <v>136</v>
      </c>
      <c r="H19" s="76"/>
      <c r="I19" s="224"/>
      <c r="J19">
        <f>1</f>
        <v>1</v>
      </c>
      <c r="K19">
        <v>63.79</v>
      </c>
    </row>
    <row r="20" spans="1:11" ht="18.75" x14ac:dyDescent="0.3">
      <c r="A20" s="218">
        <f>0.5/0.395</f>
        <v>1.2658227848101264</v>
      </c>
      <c r="B20" s="220">
        <f>0.5*1.27</f>
        <v>0.63500000000000001</v>
      </c>
      <c r="C20" s="156" t="s">
        <v>198</v>
      </c>
      <c r="D20" s="157"/>
      <c r="E20" s="157"/>
      <c r="F20" s="158"/>
      <c r="G20" s="102"/>
      <c r="H20" s="103"/>
      <c r="I20" s="224"/>
      <c r="J20">
        <v>0.2</v>
      </c>
      <c r="K20">
        <f>J20*K19/1</f>
        <v>12.758000000000001</v>
      </c>
    </row>
    <row r="21" spans="1:11" x14ac:dyDescent="0.25">
      <c r="C21" s="156" t="s">
        <v>199</v>
      </c>
      <c r="D21" s="157"/>
      <c r="E21" s="157"/>
      <c r="F21" s="158"/>
      <c r="G21" s="102"/>
      <c r="H21" s="103"/>
      <c r="I21" s="224"/>
    </row>
    <row r="22" spans="1:11" x14ac:dyDescent="0.25">
      <c r="C22" s="146" t="s">
        <v>200</v>
      </c>
      <c r="D22" s="147"/>
      <c r="E22" s="147"/>
      <c r="F22" s="148"/>
      <c r="G22" s="102"/>
      <c r="H22" s="103"/>
      <c r="I22" s="224"/>
      <c r="J22" s="145">
        <v>1.02</v>
      </c>
      <c r="K22" s="145">
        <v>75.94</v>
      </c>
    </row>
    <row r="23" spans="1:11" x14ac:dyDescent="0.25">
      <c r="C23" s="146"/>
      <c r="D23" s="147"/>
      <c r="E23" s="147"/>
      <c r="F23" s="148"/>
      <c r="G23" s="102"/>
      <c r="H23" s="103"/>
      <c r="I23" s="224"/>
      <c r="J23">
        <v>0.2</v>
      </c>
      <c r="K23">
        <f>J23*K22/J22</f>
        <v>14.890196078431373</v>
      </c>
    </row>
    <row r="24" spans="1:11" x14ac:dyDescent="0.25">
      <c r="C24" s="93"/>
      <c r="D24" s="94"/>
      <c r="E24" s="94"/>
      <c r="F24" s="95"/>
      <c r="G24" s="104"/>
      <c r="H24" s="105"/>
      <c r="I24" s="224"/>
    </row>
    <row r="25" spans="1:11" x14ac:dyDescent="0.25">
      <c r="C25" s="90" t="s">
        <v>135</v>
      </c>
      <c r="D25" s="91"/>
      <c r="E25" s="91"/>
      <c r="F25" s="92"/>
      <c r="G25" s="90" t="s">
        <v>134</v>
      </c>
      <c r="H25" s="92"/>
      <c r="I25" s="224"/>
    </row>
    <row r="26" spans="1:11" ht="33.75" x14ac:dyDescent="0.5">
      <c r="C26" s="183" t="s">
        <v>175</v>
      </c>
      <c r="D26" s="183"/>
      <c r="E26" s="183"/>
      <c r="F26" s="183"/>
      <c r="G26" s="183" t="s">
        <v>175</v>
      </c>
      <c r="H26" s="183"/>
      <c r="I26" s="225">
        <v>1.06</v>
      </c>
      <c r="J26" s="231">
        <v>75.94</v>
      </c>
    </row>
    <row r="27" spans="1:11" ht="33.75" x14ac:dyDescent="0.5">
      <c r="C27" s="183"/>
      <c r="D27" s="183"/>
      <c r="E27" s="183"/>
      <c r="F27" s="183"/>
      <c r="G27" s="183"/>
      <c r="H27" s="183"/>
      <c r="I27" s="225">
        <v>1</v>
      </c>
      <c r="J27" s="231">
        <f>I27*J26/I26</f>
        <v>71.641509433962256</v>
      </c>
    </row>
  </sheetData>
  <mergeCells count="19">
    <mergeCell ref="A10:B10"/>
    <mergeCell ref="A11:B11"/>
    <mergeCell ref="C4:H4"/>
    <mergeCell ref="C5:E5"/>
    <mergeCell ref="F5:H5"/>
    <mergeCell ref="C6:H6"/>
    <mergeCell ref="C25:F25"/>
    <mergeCell ref="G25:H25"/>
    <mergeCell ref="G20:H24"/>
    <mergeCell ref="C26:F27"/>
    <mergeCell ref="G26:H27"/>
    <mergeCell ref="C15:F15"/>
    <mergeCell ref="C22:F22"/>
    <mergeCell ref="C23:F23"/>
    <mergeCell ref="C24:F24"/>
    <mergeCell ref="C16:F16"/>
    <mergeCell ref="C17:F17"/>
    <mergeCell ref="C18:F18"/>
    <mergeCell ref="G19:H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0DDD-65EF-405D-A781-E3D1DAFDFCDD}">
  <dimension ref="A2:L49"/>
  <sheetViews>
    <sheetView topLeftCell="D11" zoomScale="68" zoomScaleNormal="68" workbookViewId="0">
      <selection activeCell="I25" sqref="I25"/>
    </sheetView>
  </sheetViews>
  <sheetFormatPr baseColWidth="10" defaultRowHeight="15" x14ac:dyDescent="0.25"/>
  <cols>
    <col min="1" max="1" width="30.140625" customWidth="1"/>
    <col min="2" max="2" width="50.85546875" customWidth="1"/>
    <col min="3" max="3" width="21.28515625" customWidth="1"/>
    <col min="4" max="4" width="32.140625" customWidth="1"/>
    <col min="5" max="5" width="29.140625" customWidth="1"/>
    <col min="6" max="6" width="25.5703125" customWidth="1"/>
    <col min="7" max="7" width="68.42578125" customWidth="1"/>
    <col min="8" max="8" width="47.85546875" customWidth="1"/>
    <col min="9" max="9" width="53.28515625" customWidth="1"/>
    <col min="10" max="10" width="17.85546875" customWidth="1"/>
    <col min="11" max="11" width="19" customWidth="1"/>
    <col min="12" max="12" width="20.42578125" customWidth="1"/>
  </cols>
  <sheetData>
    <row r="2" spans="1:11" ht="21" x14ac:dyDescent="0.35">
      <c r="E2" s="36"/>
    </row>
    <row r="3" spans="1:11" x14ac:dyDescent="0.25">
      <c r="C3" s="196" t="s">
        <v>212</v>
      </c>
      <c r="D3" s="196"/>
      <c r="E3" s="196"/>
      <c r="F3" s="196"/>
      <c r="G3" s="196"/>
      <c r="H3" s="196"/>
      <c r="I3" s="196"/>
      <c r="J3" s="196"/>
    </row>
    <row r="4" spans="1:11" x14ac:dyDescent="0.25">
      <c r="C4" s="196"/>
      <c r="D4" s="196"/>
      <c r="E4" s="196"/>
      <c r="F4" s="196"/>
      <c r="G4" s="196"/>
      <c r="H4" s="196"/>
      <c r="I4" s="196"/>
      <c r="J4" s="196"/>
    </row>
    <row r="5" spans="1:11" ht="23.25" customHeight="1" x14ac:dyDescent="0.25">
      <c r="C5" s="197"/>
      <c r="D5" s="197"/>
      <c r="E5" s="197"/>
      <c r="F5" s="197"/>
      <c r="G5" s="197"/>
      <c r="H5" s="197"/>
      <c r="I5" s="197"/>
      <c r="J5" s="197"/>
    </row>
    <row r="6" spans="1:11" ht="26.25" x14ac:dyDescent="0.4">
      <c r="C6" s="106"/>
      <c r="D6" s="107"/>
      <c r="E6" s="107"/>
      <c r="F6" s="107"/>
      <c r="G6" s="107"/>
      <c r="H6" s="107"/>
      <c r="I6" s="107"/>
      <c r="J6" s="108"/>
    </row>
    <row r="7" spans="1:11" ht="27.75" x14ac:dyDescent="0.4">
      <c r="A7" s="113" t="s">
        <v>95</v>
      </c>
      <c r="B7" s="114"/>
      <c r="C7" s="85" t="s">
        <v>143</v>
      </c>
      <c r="D7" s="85"/>
      <c r="E7" s="85"/>
      <c r="F7" s="263" t="s">
        <v>229</v>
      </c>
      <c r="G7" s="263"/>
      <c r="H7" s="263"/>
      <c r="I7" s="263"/>
      <c r="J7" s="263"/>
    </row>
    <row r="8" spans="1:11" ht="26.25" x14ac:dyDescent="0.4">
      <c r="A8" s="206" t="s">
        <v>90</v>
      </c>
      <c r="B8" s="36" t="s">
        <v>205</v>
      </c>
      <c r="C8" s="89" t="s">
        <v>210</v>
      </c>
      <c r="D8" s="89"/>
      <c r="E8" s="89"/>
      <c r="F8" s="89" t="s">
        <v>148</v>
      </c>
      <c r="G8" s="89"/>
      <c r="H8" s="89"/>
      <c r="I8" s="89"/>
      <c r="J8" s="89"/>
    </row>
    <row r="9" spans="1:11" ht="28.5" x14ac:dyDescent="0.4">
      <c r="A9" s="201" t="s">
        <v>91</v>
      </c>
      <c r="B9" s="36" t="s">
        <v>206</v>
      </c>
      <c r="C9" s="194" t="s">
        <v>211</v>
      </c>
      <c r="D9" s="254" t="s">
        <v>228</v>
      </c>
      <c r="E9" s="254"/>
      <c r="F9" s="195" t="s">
        <v>227</v>
      </c>
      <c r="G9" s="195"/>
      <c r="H9" s="195" t="s">
        <v>226</v>
      </c>
      <c r="I9" s="195"/>
      <c r="J9" s="195"/>
    </row>
    <row r="10" spans="1:11" ht="52.5" customHeight="1" x14ac:dyDescent="0.35">
      <c r="A10" s="186" t="s">
        <v>92</v>
      </c>
      <c r="B10" s="187" t="s">
        <v>204</v>
      </c>
      <c r="C10" s="198" t="s">
        <v>0</v>
      </c>
      <c r="D10" s="191" t="s">
        <v>13</v>
      </c>
      <c r="E10" s="208" t="s">
        <v>6</v>
      </c>
      <c r="F10" s="199" t="s">
        <v>14</v>
      </c>
      <c r="G10" s="207" t="s">
        <v>215</v>
      </c>
      <c r="H10" s="31" t="s">
        <v>15</v>
      </c>
      <c r="I10" s="33" t="s">
        <v>16</v>
      </c>
      <c r="J10" s="34" t="s">
        <v>7</v>
      </c>
    </row>
    <row r="11" spans="1:11" ht="28.5" x14ac:dyDescent="0.35">
      <c r="A11" s="202" t="s">
        <v>93</v>
      </c>
      <c r="B11" s="36" t="s">
        <v>207</v>
      </c>
      <c r="C11" s="62">
        <v>25</v>
      </c>
      <c r="D11" s="30" t="s">
        <v>102</v>
      </c>
      <c r="E11" s="235">
        <v>0.22</v>
      </c>
      <c r="F11" s="203" t="s">
        <v>156</v>
      </c>
      <c r="G11" s="204">
        <f>0.22/0.22</f>
        <v>1</v>
      </c>
      <c r="H11" s="32">
        <f>0.22*1</f>
        <v>0.22</v>
      </c>
      <c r="I11" s="35">
        <v>176.96</v>
      </c>
      <c r="J11" s="232">
        <f>H11*I11</f>
        <v>38.931200000000004</v>
      </c>
    </row>
    <row r="12" spans="1:11" ht="28.5" x14ac:dyDescent="0.35">
      <c r="A12" s="185" t="s">
        <v>94</v>
      </c>
      <c r="B12" s="36" t="s">
        <v>208</v>
      </c>
      <c r="C12" s="62">
        <v>30</v>
      </c>
      <c r="D12" s="30" t="s">
        <v>125</v>
      </c>
      <c r="E12" s="235">
        <v>0.34</v>
      </c>
      <c r="F12" s="203" t="s">
        <v>156</v>
      </c>
      <c r="G12" s="204">
        <v>1</v>
      </c>
      <c r="H12" s="32">
        <f>0.34*1</f>
        <v>0.34</v>
      </c>
      <c r="I12" s="35">
        <v>28</v>
      </c>
      <c r="J12" s="232">
        <f>H12*I12</f>
        <v>9.5200000000000014</v>
      </c>
    </row>
    <row r="13" spans="1:11" ht="28.5" x14ac:dyDescent="0.35">
      <c r="A13" s="190" t="s">
        <v>96</v>
      </c>
      <c r="B13" s="187" t="s">
        <v>209</v>
      </c>
      <c r="C13" s="62">
        <v>29</v>
      </c>
      <c r="D13" s="210" t="s">
        <v>177</v>
      </c>
      <c r="E13" s="236">
        <v>0.12</v>
      </c>
      <c r="F13" s="211" t="s">
        <v>156</v>
      </c>
      <c r="G13" s="212">
        <f>0.12/0.1</f>
        <v>1.2</v>
      </c>
      <c r="H13" s="213">
        <f>0.12*1.2</f>
        <v>0.14399999999999999</v>
      </c>
      <c r="I13" s="35">
        <v>38.880000000000003</v>
      </c>
      <c r="J13" s="232">
        <f>H13*I13</f>
        <v>5.5987200000000001</v>
      </c>
    </row>
    <row r="14" spans="1:11" ht="28.5" x14ac:dyDescent="0.35">
      <c r="B14" s="36"/>
      <c r="C14" s="62">
        <v>10</v>
      </c>
      <c r="D14" s="30" t="s">
        <v>216</v>
      </c>
      <c r="E14" s="235">
        <v>5.0000000000000001E-3</v>
      </c>
      <c r="F14" s="203" t="s">
        <v>157</v>
      </c>
      <c r="G14" s="205">
        <v>1</v>
      </c>
      <c r="H14" s="209">
        <f>0.005*1</f>
        <v>5.0000000000000001E-3</v>
      </c>
      <c r="I14" s="35">
        <v>84</v>
      </c>
      <c r="J14" s="232">
        <f>H14*I14</f>
        <v>0.42</v>
      </c>
      <c r="K14" s="230">
        <v>0.5</v>
      </c>
    </row>
    <row r="15" spans="1:11" ht="28.5" x14ac:dyDescent="0.4">
      <c r="A15" s="229">
        <v>1.8</v>
      </c>
      <c r="B15" s="229">
        <v>70</v>
      </c>
      <c r="C15" s="62">
        <v>50</v>
      </c>
      <c r="D15" s="210" t="s">
        <v>104</v>
      </c>
      <c r="E15" s="236">
        <v>0.2</v>
      </c>
      <c r="F15" s="211" t="s">
        <v>156</v>
      </c>
      <c r="G15" s="214">
        <f>0.35/0.28</f>
        <v>1.2499999999999998</v>
      </c>
      <c r="H15" s="213">
        <f>E15*G15</f>
        <v>0.24999999999999997</v>
      </c>
      <c r="I15" s="35">
        <v>35</v>
      </c>
      <c r="J15" s="232">
        <f>H15*I15</f>
        <v>8.7499999999999982</v>
      </c>
    </row>
    <row r="16" spans="1:11" ht="28.5" x14ac:dyDescent="0.35">
      <c r="A16" s="228">
        <v>1</v>
      </c>
      <c r="B16">
        <f>A16*B15/A15</f>
        <v>38.888888888888886</v>
      </c>
      <c r="C16" s="62">
        <v>23</v>
      </c>
      <c r="D16" s="30" t="s">
        <v>11</v>
      </c>
      <c r="E16" s="235">
        <v>0.38</v>
      </c>
      <c r="F16" s="203" t="s">
        <v>156</v>
      </c>
      <c r="G16" s="204">
        <v>1</v>
      </c>
      <c r="H16" s="209">
        <f>E16*1</f>
        <v>0.38</v>
      </c>
      <c r="I16" s="35">
        <v>13</v>
      </c>
      <c r="J16" s="232">
        <f>H16*I16</f>
        <v>4.9400000000000004</v>
      </c>
    </row>
    <row r="17" spans="3:12" ht="28.5" x14ac:dyDescent="0.4">
      <c r="C17" s="7" t="s">
        <v>214</v>
      </c>
      <c r="D17" s="200" t="s">
        <v>213</v>
      </c>
      <c r="E17" s="235">
        <v>0.2</v>
      </c>
      <c r="F17" s="141" t="s">
        <v>156</v>
      </c>
      <c r="G17" s="204">
        <v>1</v>
      </c>
      <c r="H17" s="215">
        <f>0.2*1</f>
        <v>0.2</v>
      </c>
      <c r="I17" s="35">
        <v>71.64</v>
      </c>
      <c r="J17" s="233">
        <f>H17*I17</f>
        <v>14.328000000000001</v>
      </c>
    </row>
    <row r="18" spans="3:12" ht="28.5" x14ac:dyDescent="0.25">
      <c r="C18" s="1"/>
      <c r="D18" s="38"/>
      <c r="E18" s="237"/>
      <c r="F18" s="4"/>
      <c r="G18" s="1"/>
      <c r="H18" s="1"/>
      <c r="I18" s="1"/>
      <c r="J18" s="1"/>
    </row>
    <row r="19" spans="3:12" ht="21.75" customHeight="1" x14ac:dyDescent="0.4">
      <c r="C19" s="1"/>
      <c r="D19" s="240" t="s">
        <v>221</v>
      </c>
      <c r="E19" s="241">
        <v>1.2649999999999999</v>
      </c>
      <c r="G19" s="250" t="s">
        <v>17</v>
      </c>
      <c r="H19" s="1"/>
      <c r="I19" s="1"/>
      <c r="J19" s="1"/>
    </row>
    <row r="20" spans="3:12" ht="22.5" customHeight="1" x14ac:dyDescent="0.4">
      <c r="C20" s="1"/>
      <c r="D20" s="242" t="s">
        <v>222</v>
      </c>
      <c r="E20" s="244">
        <f>E19-0.063</f>
        <v>1.202</v>
      </c>
      <c r="F20" s="243">
        <v>0.2</v>
      </c>
      <c r="G20" s="250" t="s">
        <v>18</v>
      </c>
      <c r="H20" s="1"/>
      <c r="I20" s="1"/>
      <c r="J20" s="1"/>
    </row>
    <row r="21" spans="3:12" ht="26.25" customHeight="1" x14ac:dyDescent="0.45">
      <c r="C21" s="1"/>
      <c r="D21" s="238"/>
      <c r="E21" s="245" t="s">
        <v>223</v>
      </c>
      <c r="F21" s="239"/>
      <c r="G21" s="251" t="s">
        <v>19</v>
      </c>
      <c r="H21" s="1"/>
      <c r="I21" s="1"/>
      <c r="J21" s="1"/>
    </row>
    <row r="22" spans="3:12" ht="24.75" customHeight="1" x14ac:dyDescent="0.35">
      <c r="C22" s="1"/>
      <c r="D22" s="248" t="s">
        <v>224</v>
      </c>
      <c r="E22" s="247">
        <f>1.402/0.025</f>
        <v>56.079999999999991</v>
      </c>
      <c r="F22" s="239"/>
      <c r="G22" s="250" t="s">
        <v>20</v>
      </c>
      <c r="H22" s="1"/>
      <c r="I22" s="1"/>
      <c r="J22" s="1"/>
    </row>
    <row r="23" spans="3:12" ht="26.25" customHeight="1" x14ac:dyDescent="0.35">
      <c r="C23" s="1"/>
      <c r="D23" s="248" t="s">
        <v>225</v>
      </c>
      <c r="E23" s="249">
        <f>E22/7</f>
        <v>8.0114285714285707</v>
      </c>
      <c r="F23" s="246">
        <f>7*0.025</f>
        <v>0.17500000000000002</v>
      </c>
      <c r="G23" s="1"/>
      <c r="H23" s="1"/>
      <c r="I23" s="1"/>
      <c r="J23" s="1"/>
    </row>
    <row r="24" spans="3:12" ht="28.5" x14ac:dyDescent="0.45">
      <c r="C24" s="264" t="s">
        <v>21</v>
      </c>
      <c r="D24" s="265"/>
      <c r="E24" s="265"/>
      <c r="F24" s="265"/>
      <c r="G24" s="265"/>
      <c r="H24" s="266"/>
      <c r="I24" s="8" t="s">
        <v>22</v>
      </c>
      <c r="J24" s="234">
        <f>SUM(J11:J23)</f>
        <v>82.487920000000017</v>
      </c>
      <c r="L24" s="269">
        <f>J24/8.01</f>
        <v>10.298117353308367</v>
      </c>
    </row>
    <row r="25" spans="3:12" ht="26.25" x14ac:dyDescent="0.4">
      <c r="C25" s="112"/>
      <c r="D25" s="110"/>
      <c r="E25" s="110"/>
      <c r="F25" s="110"/>
      <c r="G25" s="110"/>
      <c r="H25" s="111"/>
      <c r="I25" s="9" t="s">
        <v>105</v>
      </c>
      <c r="J25" s="252">
        <f>J24*0.1</f>
        <v>8.2487920000000017</v>
      </c>
    </row>
    <row r="26" spans="3:12" ht="26.25" x14ac:dyDescent="0.4">
      <c r="C26" s="109"/>
      <c r="D26" s="110"/>
      <c r="E26" s="110"/>
      <c r="F26" s="110"/>
      <c r="G26" s="110"/>
      <c r="H26" s="111"/>
      <c r="I26" s="10" t="s">
        <v>23</v>
      </c>
      <c r="J26" s="253">
        <f>SUM(J24:J25)</f>
        <v>90.736712000000011</v>
      </c>
    </row>
    <row r="27" spans="3:12" ht="26.25" x14ac:dyDescent="0.4">
      <c r="C27" s="109"/>
      <c r="D27" s="110"/>
      <c r="E27" s="110"/>
      <c r="F27" s="110"/>
      <c r="G27" s="110"/>
      <c r="H27" s="111"/>
      <c r="I27" s="37" t="s">
        <v>24</v>
      </c>
      <c r="J27" s="255">
        <v>302.47000000000003</v>
      </c>
      <c r="K27" s="259"/>
      <c r="L27" s="260"/>
    </row>
    <row r="28" spans="3:12" ht="26.25" x14ac:dyDescent="0.4">
      <c r="C28" s="109"/>
      <c r="D28" s="110"/>
      <c r="E28" s="110"/>
      <c r="F28" s="110"/>
      <c r="G28" s="110"/>
      <c r="H28" s="111"/>
      <c r="I28" s="11" t="s">
        <v>25</v>
      </c>
      <c r="J28" s="256">
        <f>0.16*J27</f>
        <v>48.395200000000003</v>
      </c>
      <c r="K28" s="260"/>
      <c r="L28" s="260"/>
    </row>
    <row r="29" spans="3:12" ht="28.5" x14ac:dyDescent="0.45">
      <c r="C29" s="109"/>
      <c r="D29" s="110"/>
      <c r="E29" s="110"/>
      <c r="F29" s="110"/>
      <c r="G29" s="110"/>
      <c r="H29" s="111"/>
      <c r="I29" s="258" t="s">
        <v>26</v>
      </c>
      <c r="J29" s="257">
        <f>SUM(J27:J28)</f>
        <v>350.86520000000002</v>
      </c>
      <c r="K29" s="261">
        <f>350.87/8.01</f>
        <v>43.803995006242197</v>
      </c>
      <c r="L29" s="267">
        <f>K29*0.3</f>
        <v>13.141198501872658</v>
      </c>
    </row>
    <row r="30" spans="3:12" ht="21" x14ac:dyDescent="0.35">
      <c r="C30" s="109"/>
      <c r="D30" s="110"/>
      <c r="E30" s="110"/>
      <c r="F30" s="110"/>
      <c r="G30" s="110"/>
      <c r="H30" s="111"/>
      <c r="I30" s="12" t="s">
        <v>27</v>
      </c>
      <c r="J30" s="13">
        <f>J29*0.18</f>
        <v>63.155735999999997</v>
      </c>
      <c r="K30" s="260"/>
      <c r="L30" s="260"/>
    </row>
    <row r="31" spans="3:12" ht="27" customHeight="1" x14ac:dyDescent="0.35">
      <c r="C31" s="109"/>
      <c r="D31" s="110"/>
      <c r="E31" s="110"/>
      <c r="F31" s="110"/>
      <c r="G31" s="110"/>
      <c r="H31" s="111"/>
      <c r="I31" s="14" t="s">
        <v>28</v>
      </c>
      <c r="J31" s="15">
        <f>SUM(J29:J30)</f>
        <v>414.02093600000001</v>
      </c>
      <c r="K31" s="262">
        <f>J31/8.01</f>
        <v>51.688006991260927</v>
      </c>
      <c r="L31" s="260"/>
    </row>
    <row r="32" spans="3:12" ht="19.5" x14ac:dyDescent="0.3">
      <c r="C32" s="109"/>
      <c r="D32" s="110"/>
      <c r="E32" s="110"/>
      <c r="F32" s="110"/>
      <c r="G32" s="110"/>
      <c r="H32" s="111"/>
      <c r="I32" s="93" t="s">
        <v>8</v>
      </c>
      <c r="J32" s="95"/>
      <c r="K32" s="260"/>
      <c r="L32" s="260"/>
    </row>
    <row r="33" spans="3:12" ht="19.5" x14ac:dyDescent="0.3">
      <c r="C33" s="109"/>
      <c r="D33" s="110"/>
      <c r="E33" s="110"/>
      <c r="F33" s="110"/>
      <c r="G33" s="110"/>
      <c r="H33" s="111"/>
      <c r="I33" s="77"/>
      <c r="J33" s="78"/>
      <c r="K33" s="260"/>
      <c r="L33" s="260"/>
    </row>
    <row r="34" spans="3:12" ht="19.5" x14ac:dyDescent="0.3">
      <c r="C34" s="109"/>
      <c r="D34" s="110"/>
      <c r="E34" s="110"/>
      <c r="F34" s="110"/>
      <c r="G34" s="110"/>
      <c r="H34" s="111"/>
      <c r="I34" s="115"/>
      <c r="J34" s="116"/>
      <c r="K34" s="260"/>
      <c r="L34" s="260"/>
    </row>
    <row r="35" spans="3:12" x14ac:dyDescent="0.25">
      <c r="C35" s="109"/>
      <c r="D35" s="110"/>
      <c r="E35" s="110"/>
      <c r="F35" s="110"/>
      <c r="G35" s="110"/>
      <c r="H35" s="111"/>
      <c r="I35" s="115"/>
      <c r="J35" s="116"/>
    </row>
    <row r="36" spans="3:12" x14ac:dyDescent="0.25">
      <c r="C36" s="109"/>
      <c r="D36" s="110"/>
      <c r="E36" s="110"/>
      <c r="F36" s="110"/>
      <c r="G36" s="110"/>
      <c r="H36" s="111"/>
      <c r="I36" s="115"/>
      <c r="J36" s="116"/>
    </row>
    <row r="37" spans="3:12" x14ac:dyDescent="0.25">
      <c r="C37" s="81" t="s">
        <v>3</v>
      </c>
      <c r="D37" s="81"/>
      <c r="E37" s="81"/>
      <c r="F37" s="81" t="s">
        <v>29</v>
      </c>
      <c r="G37" s="81"/>
      <c r="H37" s="81"/>
      <c r="I37" s="115"/>
      <c r="J37" s="116"/>
    </row>
    <row r="38" spans="3:12" x14ac:dyDescent="0.25">
      <c r="C38" s="81" t="s">
        <v>30</v>
      </c>
      <c r="D38" s="81"/>
      <c r="E38" s="81"/>
      <c r="F38" s="81" t="s">
        <v>31</v>
      </c>
      <c r="G38" s="81"/>
      <c r="H38" s="81"/>
      <c r="I38" s="79"/>
      <c r="J38" s="80"/>
    </row>
    <row r="40" spans="3:12" ht="36" x14ac:dyDescent="0.55000000000000004">
      <c r="C40" s="188"/>
      <c r="D40" s="188"/>
      <c r="E40" s="188"/>
      <c r="F40" s="189" t="s">
        <v>201</v>
      </c>
      <c r="G40" s="188"/>
      <c r="H40" s="188"/>
    </row>
    <row r="41" spans="3:12" ht="21" x14ac:dyDescent="0.35">
      <c r="C41" s="27" t="s">
        <v>2</v>
      </c>
      <c r="D41" s="29" t="s">
        <v>97</v>
      </c>
      <c r="E41" s="29" t="s">
        <v>98</v>
      </c>
      <c r="F41" s="27" t="s">
        <v>99</v>
      </c>
      <c r="G41" s="27" t="s">
        <v>100</v>
      </c>
      <c r="H41" s="27" t="s">
        <v>101</v>
      </c>
      <c r="I41">
        <v>120</v>
      </c>
      <c r="J41">
        <v>100</v>
      </c>
    </row>
    <row r="42" spans="3:12" ht="21" x14ac:dyDescent="0.35">
      <c r="C42" s="7" t="s">
        <v>177</v>
      </c>
      <c r="D42" s="62" t="s">
        <v>202</v>
      </c>
      <c r="E42" s="62">
        <v>100</v>
      </c>
      <c r="F42" s="62">
        <v>20</v>
      </c>
      <c r="G42" s="193">
        <v>0.16669999999999999</v>
      </c>
      <c r="H42" s="193">
        <v>0.83330000000000004</v>
      </c>
      <c r="I42">
        <v>20</v>
      </c>
    </row>
    <row r="43" spans="3:12" ht="21" x14ac:dyDescent="0.35">
      <c r="C43" s="7" t="s">
        <v>104</v>
      </c>
      <c r="D43" s="62" t="s">
        <v>203</v>
      </c>
      <c r="E43" s="62">
        <v>280</v>
      </c>
      <c r="F43" s="62">
        <f>350-280</f>
        <v>70</v>
      </c>
      <c r="G43" s="193">
        <v>0.2</v>
      </c>
      <c r="H43" s="193">
        <v>0.8</v>
      </c>
    </row>
    <row r="44" spans="3:12" x14ac:dyDescent="0.25">
      <c r="C44" s="1"/>
      <c r="D44" s="1"/>
      <c r="E44" s="1"/>
      <c r="F44" s="1"/>
      <c r="G44" s="1"/>
      <c r="H44" s="1"/>
    </row>
    <row r="45" spans="3:12" x14ac:dyDescent="0.25">
      <c r="F45" s="3"/>
      <c r="G45" s="6"/>
    </row>
    <row r="46" spans="3:12" x14ac:dyDescent="0.25">
      <c r="F46" s="3">
        <v>350</v>
      </c>
      <c r="G46" s="6">
        <v>100</v>
      </c>
    </row>
    <row r="47" spans="3:12" ht="21" x14ac:dyDescent="0.35">
      <c r="F47" s="3">
        <v>70</v>
      </c>
      <c r="G47" s="192">
        <f>70*100/350</f>
        <v>20</v>
      </c>
      <c r="H47" s="28"/>
    </row>
    <row r="48" spans="3:12" x14ac:dyDescent="0.25">
      <c r="F48" s="3"/>
      <c r="G48" s="6"/>
    </row>
    <row r="49" spans="6:7" x14ac:dyDescent="0.25">
      <c r="F49" s="3"/>
      <c r="G49" s="6"/>
    </row>
  </sheetData>
  <mergeCells count="29">
    <mergeCell ref="A7:B7"/>
    <mergeCell ref="I32:J32"/>
    <mergeCell ref="C33:H33"/>
    <mergeCell ref="I33:J38"/>
    <mergeCell ref="C34:H34"/>
    <mergeCell ref="C35:H35"/>
    <mergeCell ref="C36:H36"/>
    <mergeCell ref="C37:E37"/>
    <mergeCell ref="F37:H37"/>
    <mergeCell ref="C38:E38"/>
    <mergeCell ref="F38:H38"/>
    <mergeCell ref="C27:H27"/>
    <mergeCell ref="C28:H28"/>
    <mergeCell ref="C29:H29"/>
    <mergeCell ref="C30:H30"/>
    <mergeCell ref="C31:H31"/>
    <mergeCell ref="C32:H32"/>
    <mergeCell ref="D9:E9"/>
    <mergeCell ref="F9:G9"/>
    <mergeCell ref="H9:J9"/>
    <mergeCell ref="C24:H24"/>
    <mergeCell ref="C25:H25"/>
    <mergeCell ref="C26:H26"/>
    <mergeCell ref="C7:E7"/>
    <mergeCell ref="F7:J7"/>
    <mergeCell ref="C8:E8"/>
    <mergeCell ref="F8:J8"/>
    <mergeCell ref="C3:J5"/>
    <mergeCell ref="C6:J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9D8AE-AB13-45CC-AEC0-D934A2A5969C}">
  <dimension ref="B2:J39"/>
  <sheetViews>
    <sheetView topLeftCell="C4" zoomScale="89" zoomScaleNormal="89" workbookViewId="0">
      <selection activeCell="J15" sqref="J15"/>
    </sheetView>
  </sheetViews>
  <sheetFormatPr baseColWidth="10" defaultRowHeight="15" x14ac:dyDescent="0.25"/>
  <cols>
    <col min="1" max="1" width="9.7109375" customWidth="1"/>
    <col min="2" max="2" width="11.42578125" hidden="1" customWidth="1"/>
    <col min="3" max="3" width="28.85546875" customWidth="1"/>
    <col min="4" max="4" width="33.42578125" customWidth="1"/>
    <col min="5" max="5" width="39.85546875" customWidth="1"/>
    <col min="6" max="6" width="30.140625" customWidth="1"/>
    <col min="7" max="7" width="15.85546875" customWidth="1"/>
    <col min="8" max="8" width="16.85546875" customWidth="1"/>
    <col min="9" max="9" width="24.42578125" customWidth="1"/>
    <col min="10" max="10" width="39" customWidth="1"/>
  </cols>
  <sheetData>
    <row r="2" spans="3:10" ht="45.75" customHeight="1" x14ac:dyDescent="0.25">
      <c r="C2" s="270" t="s">
        <v>32</v>
      </c>
      <c r="D2" s="270"/>
      <c r="E2" s="270"/>
      <c r="F2" s="270"/>
      <c r="G2" s="270"/>
      <c r="H2" s="270"/>
      <c r="I2" s="270"/>
    </row>
    <row r="3" spans="3:10" ht="33" x14ac:dyDescent="0.25">
      <c r="C3" s="275" t="s">
        <v>33</v>
      </c>
      <c r="D3" s="276"/>
      <c r="E3" s="276"/>
      <c r="F3" s="276"/>
      <c r="G3" s="277"/>
      <c r="H3" s="271" t="s">
        <v>34</v>
      </c>
      <c r="I3" s="278">
        <v>45239</v>
      </c>
    </row>
    <row r="4" spans="3:10" ht="60" customHeight="1" x14ac:dyDescent="0.25">
      <c r="C4" s="279" t="s">
        <v>35</v>
      </c>
      <c r="D4" s="279" t="s">
        <v>36</v>
      </c>
      <c r="E4" s="279" t="s">
        <v>37</v>
      </c>
      <c r="F4" s="279" t="s">
        <v>38</v>
      </c>
      <c r="G4" s="279" t="s">
        <v>39</v>
      </c>
      <c r="H4" s="279" t="s">
        <v>40</v>
      </c>
      <c r="I4" s="279" t="s">
        <v>41</v>
      </c>
    </row>
    <row r="5" spans="3:10" ht="23.25" x14ac:dyDescent="0.65">
      <c r="C5" s="283" t="s">
        <v>239</v>
      </c>
      <c r="D5" s="284" t="s">
        <v>95</v>
      </c>
      <c r="E5" s="285">
        <v>43.8</v>
      </c>
      <c r="F5" s="286">
        <f>E5*0.3</f>
        <v>13.139999999999999</v>
      </c>
      <c r="G5" s="287">
        <v>0.3</v>
      </c>
      <c r="H5" s="310">
        <v>0.26</v>
      </c>
      <c r="I5" s="317">
        <v>0.23</v>
      </c>
    </row>
    <row r="6" spans="3:10" ht="23.25" x14ac:dyDescent="0.65">
      <c r="C6" s="283" t="s">
        <v>239</v>
      </c>
      <c r="D6" s="284" t="s">
        <v>230</v>
      </c>
      <c r="E6" s="285">
        <v>65</v>
      </c>
      <c r="F6" s="286">
        <f>E6*0.25</f>
        <v>16.25</v>
      </c>
      <c r="G6" s="287">
        <v>0.25</v>
      </c>
      <c r="H6" s="308"/>
      <c r="I6" s="318"/>
    </row>
    <row r="7" spans="3:10" ht="31.5" x14ac:dyDescent="0.65">
      <c r="C7" s="283" t="s">
        <v>239</v>
      </c>
      <c r="D7" s="284" t="s">
        <v>231</v>
      </c>
      <c r="E7" s="285">
        <v>95</v>
      </c>
      <c r="F7" s="286">
        <f>E7*0.22</f>
        <v>20.9</v>
      </c>
      <c r="G7" s="322">
        <v>0.22</v>
      </c>
      <c r="H7" s="309"/>
      <c r="I7" s="318"/>
      <c r="J7" s="321">
        <v>223911</v>
      </c>
    </row>
    <row r="8" spans="3:10" ht="30" x14ac:dyDescent="0.65">
      <c r="C8" s="288" t="s">
        <v>53</v>
      </c>
      <c r="D8" s="289" t="s">
        <v>232</v>
      </c>
      <c r="E8" s="290">
        <v>85</v>
      </c>
      <c r="F8" s="291">
        <f>E8*0.28</f>
        <v>23.8</v>
      </c>
      <c r="G8" s="292">
        <v>0.28000000000000003</v>
      </c>
      <c r="H8" s="312">
        <v>0.26</v>
      </c>
      <c r="I8" s="318"/>
      <c r="J8" s="323">
        <f>J7*0.23</f>
        <v>51499.53</v>
      </c>
    </row>
    <row r="9" spans="3:10" ht="23.25" x14ac:dyDescent="0.65">
      <c r="C9" s="288" t="s">
        <v>53</v>
      </c>
      <c r="D9" s="289" t="s">
        <v>233</v>
      </c>
      <c r="E9" s="290">
        <v>120</v>
      </c>
      <c r="F9" s="291">
        <f>E9*0.23</f>
        <v>27.6</v>
      </c>
      <c r="G9" s="322">
        <v>0.23</v>
      </c>
      <c r="H9" s="311"/>
      <c r="I9" s="318"/>
    </row>
    <row r="10" spans="3:10" ht="23.25" x14ac:dyDescent="0.65">
      <c r="C10" s="293" t="s">
        <v>241</v>
      </c>
      <c r="D10" s="294" t="s">
        <v>242</v>
      </c>
      <c r="E10" s="295">
        <v>55</v>
      </c>
      <c r="F10" s="296">
        <f>E10*0.17</f>
        <v>9.3500000000000014</v>
      </c>
      <c r="G10" s="322">
        <v>0.17</v>
      </c>
      <c r="H10" s="314">
        <v>0.17</v>
      </c>
      <c r="I10" s="318"/>
    </row>
    <row r="11" spans="3:10" ht="19.5" customHeight="1" x14ac:dyDescent="0.25">
      <c r="C11" s="293" t="s">
        <v>241</v>
      </c>
      <c r="D11" s="298" t="s">
        <v>234</v>
      </c>
      <c r="E11" s="295">
        <v>60</v>
      </c>
      <c r="F11" s="296">
        <f>E11*0.15</f>
        <v>9</v>
      </c>
      <c r="G11" s="322">
        <v>0.15</v>
      </c>
      <c r="H11" s="313"/>
      <c r="I11" s="318"/>
    </row>
    <row r="12" spans="3:10" ht="23.25" x14ac:dyDescent="0.25">
      <c r="C12" s="299" t="s">
        <v>243</v>
      </c>
      <c r="D12" s="300" t="s">
        <v>235</v>
      </c>
      <c r="E12" s="301">
        <v>65</v>
      </c>
      <c r="F12" s="302">
        <f>E12*0.15</f>
        <v>9.75</v>
      </c>
      <c r="G12" s="322">
        <v>0.15</v>
      </c>
      <c r="H12" s="303">
        <v>0.15</v>
      </c>
      <c r="I12" s="318"/>
      <c r="J12">
        <v>43.8</v>
      </c>
    </row>
    <row r="13" spans="3:10" ht="23.25" x14ac:dyDescent="0.25">
      <c r="C13" s="293" t="s">
        <v>244</v>
      </c>
      <c r="D13" s="298" t="s">
        <v>236</v>
      </c>
      <c r="E13" s="295">
        <v>60</v>
      </c>
      <c r="F13" s="296">
        <f>E13*0.2</f>
        <v>12</v>
      </c>
      <c r="G13" s="322">
        <v>0.2</v>
      </c>
      <c r="H13" s="297">
        <v>0.17</v>
      </c>
      <c r="I13" s="318"/>
      <c r="J13">
        <v>60</v>
      </c>
    </row>
    <row r="14" spans="3:10" ht="23.25" x14ac:dyDescent="0.25">
      <c r="C14" s="304" t="s">
        <v>55</v>
      </c>
      <c r="D14" s="305" t="s">
        <v>237</v>
      </c>
      <c r="E14" s="306">
        <v>75</v>
      </c>
      <c r="F14" s="306">
        <f>E14*0.3</f>
        <v>22.5</v>
      </c>
      <c r="G14" s="307">
        <v>0.3</v>
      </c>
      <c r="H14" s="316">
        <v>0.3</v>
      </c>
      <c r="I14" s="318"/>
      <c r="J14">
        <v>55</v>
      </c>
    </row>
    <row r="15" spans="3:10" ht="23.25" x14ac:dyDescent="0.25">
      <c r="C15" s="304" t="s">
        <v>55</v>
      </c>
      <c r="D15" s="305" t="s">
        <v>238</v>
      </c>
      <c r="E15" s="306">
        <v>85</v>
      </c>
      <c r="F15" s="306">
        <f>E15*0.3</f>
        <v>25.5</v>
      </c>
      <c r="G15" s="307">
        <v>0.3</v>
      </c>
      <c r="H15" s="315"/>
      <c r="I15" s="319"/>
      <c r="J15">
        <f>SUM(J12:J14)</f>
        <v>158.80000000000001</v>
      </c>
    </row>
    <row r="16" spans="3:10" ht="22.5" thickBot="1" x14ac:dyDescent="0.3">
      <c r="C16" s="272" t="s">
        <v>45</v>
      </c>
      <c r="D16" s="273"/>
      <c r="E16" s="273"/>
      <c r="F16" s="273"/>
      <c r="G16" s="273"/>
      <c r="H16" s="273"/>
      <c r="I16" s="274"/>
    </row>
    <row r="18" spans="4:9" ht="15.75" thickBot="1" x14ac:dyDescent="0.3"/>
    <row r="19" spans="4:9" ht="15.75" thickBot="1" x14ac:dyDescent="0.3">
      <c r="E19" s="117" t="s">
        <v>46</v>
      </c>
      <c r="F19" s="118"/>
    </row>
    <row r="20" spans="4:9" ht="15.75" thickBot="1" x14ac:dyDescent="0.3">
      <c r="E20" s="16" t="s">
        <v>47</v>
      </c>
      <c r="F20" s="17" t="s">
        <v>48</v>
      </c>
      <c r="H20" s="53"/>
      <c r="I20" s="54"/>
    </row>
    <row r="21" spans="4:9" ht="15.75" thickBot="1" x14ac:dyDescent="0.3">
      <c r="E21" s="18" t="s">
        <v>49</v>
      </c>
      <c r="F21" s="19" t="s">
        <v>50</v>
      </c>
    </row>
    <row r="22" spans="4:9" ht="15.75" thickBot="1" x14ac:dyDescent="0.3">
      <c r="E22" s="16" t="s">
        <v>44</v>
      </c>
      <c r="F22" s="17" t="s">
        <v>51</v>
      </c>
      <c r="I22" s="55"/>
    </row>
    <row r="23" spans="4:9" ht="15.75" thickBot="1" x14ac:dyDescent="0.3">
      <c r="E23" s="18" t="s">
        <v>52</v>
      </c>
      <c r="F23" s="19" t="s">
        <v>51</v>
      </c>
    </row>
    <row r="24" spans="4:9" ht="15.75" thickBot="1" x14ac:dyDescent="0.3">
      <c r="E24" s="16" t="s">
        <v>53</v>
      </c>
      <c r="F24" s="17" t="s">
        <v>54</v>
      </c>
    </row>
    <row r="25" spans="4:9" ht="15.75" thickBot="1" x14ac:dyDescent="0.3">
      <c r="E25" s="18" t="s">
        <v>55</v>
      </c>
      <c r="F25" s="19" t="s">
        <v>48</v>
      </c>
    </row>
    <row r="26" spans="4:9" ht="15.75" thickBot="1" x14ac:dyDescent="0.3">
      <c r="D26" s="282" t="s">
        <v>240</v>
      </c>
      <c r="E26" s="280" t="s">
        <v>56</v>
      </c>
      <c r="F26" s="281" t="s">
        <v>57</v>
      </c>
    </row>
    <row r="27" spans="4:9" ht="15.75" thickBot="1" x14ac:dyDescent="0.3">
      <c r="D27" s="282"/>
      <c r="E27" s="280" t="s">
        <v>43</v>
      </c>
      <c r="F27" s="281" t="s">
        <v>58</v>
      </c>
    </row>
    <row r="28" spans="4:9" ht="15.75" thickBot="1" x14ac:dyDescent="0.3">
      <c r="D28" s="282"/>
      <c r="E28" s="280" t="s">
        <v>59</v>
      </c>
      <c r="F28" s="281" t="s">
        <v>60</v>
      </c>
    </row>
    <row r="29" spans="4:9" ht="15.75" thickBot="1" x14ac:dyDescent="0.3">
      <c r="D29" s="282"/>
      <c r="E29" s="280" t="s">
        <v>42</v>
      </c>
      <c r="F29" s="281" t="s">
        <v>57</v>
      </c>
    </row>
    <row r="30" spans="4:9" ht="15.75" thickBot="1" x14ac:dyDescent="0.3">
      <c r="E30" s="16" t="s">
        <v>61</v>
      </c>
      <c r="F30" s="17" t="s">
        <v>62</v>
      </c>
    </row>
    <row r="31" spans="4:9" ht="15.75" thickBot="1" x14ac:dyDescent="0.3">
      <c r="E31" s="18" t="s">
        <v>63</v>
      </c>
      <c r="F31" s="19" t="s">
        <v>64</v>
      </c>
    </row>
    <row r="32" spans="4:9" ht="15.75" thickBot="1" x14ac:dyDescent="0.3">
      <c r="E32" s="16" t="s">
        <v>65</v>
      </c>
      <c r="F32" s="17" t="s">
        <v>50</v>
      </c>
    </row>
    <row r="33" spans="5:6" ht="15.75" thickBot="1" x14ac:dyDescent="0.3">
      <c r="E33" s="18" t="s">
        <v>66</v>
      </c>
      <c r="F33" s="19" t="s">
        <v>51</v>
      </c>
    </row>
    <row r="34" spans="5:6" ht="15.75" thickBot="1" x14ac:dyDescent="0.3">
      <c r="E34" s="16" t="s">
        <v>9</v>
      </c>
      <c r="F34" s="17" t="s">
        <v>51</v>
      </c>
    </row>
    <row r="35" spans="5:6" ht="15.75" thickBot="1" x14ac:dyDescent="0.3">
      <c r="E35" s="18" t="s">
        <v>4</v>
      </c>
      <c r="F35" s="19" t="s">
        <v>67</v>
      </c>
    </row>
    <row r="36" spans="5:6" ht="15.75" thickBot="1" x14ac:dyDescent="0.3">
      <c r="E36" s="16" t="s">
        <v>68</v>
      </c>
      <c r="F36" s="17" t="s">
        <v>69</v>
      </c>
    </row>
    <row r="37" spans="5:6" ht="15.75" thickBot="1" x14ac:dyDescent="0.3">
      <c r="E37" s="18" t="s">
        <v>70</v>
      </c>
      <c r="F37" s="19" t="s">
        <v>71</v>
      </c>
    </row>
    <row r="38" spans="5:6" ht="15.75" thickBot="1" x14ac:dyDescent="0.3">
      <c r="E38" s="16" t="s">
        <v>72</v>
      </c>
      <c r="F38" s="17" t="s">
        <v>48</v>
      </c>
    </row>
    <row r="39" spans="5:6" ht="15.75" thickBot="1" x14ac:dyDescent="0.3">
      <c r="E39" s="18" t="s">
        <v>73</v>
      </c>
      <c r="F39" s="19" t="s">
        <v>74</v>
      </c>
    </row>
  </sheetData>
  <mergeCells count="10">
    <mergeCell ref="D26:D29"/>
    <mergeCell ref="H5:H7"/>
    <mergeCell ref="H8:H9"/>
    <mergeCell ref="H10:H11"/>
    <mergeCell ref="H14:H15"/>
    <mergeCell ref="C3:G3"/>
    <mergeCell ref="I5:I15"/>
    <mergeCell ref="C16:I16"/>
    <mergeCell ref="E19:F19"/>
    <mergeCell ref="C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3A197-10D2-4979-AEF7-B9A1326A3771}">
  <dimension ref="A3:G41"/>
  <sheetViews>
    <sheetView tabSelected="1" topLeftCell="B1" zoomScale="59" zoomScaleNormal="59" workbookViewId="0">
      <selection activeCell="E12" sqref="E12"/>
    </sheetView>
  </sheetViews>
  <sheetFormatPr baseColWidth="10" defaultRowHeight="15" x14ac:dyDescent="0.25"/>
  <cols>
    <col min="2" max="2" width="60.7109375" customWidth="1"/>
    <col min="3" max="3" width="73.42578125" customWidth="1"/>
    <col min="4" max="4" width="32.5703125" customWidth="1"/>
    <col min="5" max="5" width="53.42578125" bestFit="1" customWidth="1"/>
    <col min="6" max="6" width="116.5703125" customWidth="1"/>
    <col min="7" max="7" width="41.7109375" customWidth="1"/>
  </cols>
  <sheetData>
    <row r="3" spans="1:7" ht="15.75" thickBot="1" x14ac:dyDescent="0.3"/>
    <row r="4" spans="1:7" ht="33.75" x14ac:dyDescent="0.25">
      <c r="B4" s="125" t="s">
        <v>75</v>
      </c>
      <c r="C4" s="126"/>
      <c r="D4" s="268">
        <f>B6*0.45</f>
        <v>93808.732499999998</v>
      </c>
    </row>
    <row r="5" spans="1:7" ht="21" x14ac:dyDescent="0.25">
      <c r="B5" s="127" t="s">
        <v>76</v>
      </c>
      <c r="C5" s="128"/>
    </row>
    <row r="6" spans="1:7" x14ac:dyDescent="0.25">
      <c r="B6" s="129">
        <v>208463.85</v>
      </c>
      <c r="C6" s="130"/>
    </row>
    <row r="7" spans="1:7" x14ac:dyDescent="0.25">
      <c r="B7" s="131"/>
      <c r="C7" s="132"/>
    </row>
    <row r="8" spans="1:7" ht="31.5" x14ac:dyDescent="0.5">
      <c r="B8" s="133"/>
      <c r="C8" s="134"/>
      <c r="D8" s="231">
        <f>198537*0.05</f>
        <v>9926.85</v>
      </c>
      <c r="E8" s="360" t="s">
        <v>77</v>
      </c>
      <c r="F8" s="361" t="s">
        <v>78</v>
      </c>
      <c r="G8" s="324" t="s">
        <v>257</v>
      </c>
    </row>
    <row r="9" spans="1:7" ht="33.75" x14ac:dyDescent="0.5">
      <c r="B9" s="135" t="s">
        <v>246</v>
      </c>
      <c r="C9" s="138" t="s">
        <v>247</v>
      </c>
      <c r="D9" s="320">
        <v>198537</v>
      </c>
      <c r="E9" s="362" t="s">
        <v>5</v>
      </c>
      <c r="F9" s="363">
        <v>41812</v>
      </c>
      <c r="G9" s="367">
        <f>41812-1900</f>
        <v>39912</v>
      </c>
    </row>
    <row r="10" spans="1:7" ht="33.75" x14ac:dyDescent="0.5">
      <c r="B10" s="136"/>
      <c r="C10" s="139"/>
      <c r="D10" s="330">
        <f>SUM(D8:D9)</f>
        <v>208463.85</v>
      </c>
      <c r="E10" s="362" t="s">
        <v>79</v>
      </c>
      <c r="F10" s="359">
        <v>180817</v>
      </c>
      <c r="G10" s="48">
        <v>43500</v>
      </c>
    </row>
    <row r="11" spans="1:7" ht="31.5" x14ac:dyDescent="0.5">
      <c r="B11" s="137"/>
      <c r="C11" s="140"/>
      <c r="E11" s="364" t="s">
        <v>80</v>
      </c>
      <c r="F11" s="363">
        <f>39912/180817</f>
        <v>0.22073145777222275</v>
      </c>
      <c r="G11" s="368">
        <f>43500/180817*100</f>
        <v>24.057472472167994</v>
      </c>
    </row>
    <row r="12" spans="1:7" ht="31.5" x14ac:dyDescent="0.5">
      <c r="B12" s="21"/>
      <c r="C12" s="329" t="s">
        <v>81</v>
      </c>
      <c r="E12" s="365" t="s">
        <v>266</v>
      </c>
      <c r="F12" s="366">
        <f>0.2207*100</f>
        <v>22.07</v>
      </c>
    </row>
    <row r="13" spans="1:7" ht="28.5" x14ac:dyDescent="0.25">
      <c r="B13" s="331">
        <v>0.23</v>
      </c>
      <c r="C13" s="332"/>
    </row>
    <row r="14" spans="1:7" ht="33.75" x14ac:dyDescent="0.25">
      <c r="A14" s="341">
        <v>3</v>
      </c>
      <c r="B14" s="338" t="s">
        <v>118</v>
      </c>
      <c r="C14" s="39">
        <f>0.23*208463.85</f>
        <v>47946.685500000007</v>
      </c>
      <c r="D14" s="47">
        <v>208463.85</v>
      </c>
    </row>
    <row r="15" spans="1:7" x14ac:dyDescent="0.25">
      <c r="B15" s="21"/>
      <c r="C15" s="22"/>
      <c r="D15">
        <v>8000</v>
      </c>
    </row>
    <row r="16" spans="1:7" x14ac:dyDescent="0.25">
      <c r="B16" s="21"/>
      <c r="C16" s="22"/>
    </row>
    <row r="17" spans="1:7" ht="16.5" thickBot="1" x14ac:dyDescent="0.3">
      <c r="B17" s="23"/>
      <c r="C17" s="5"/>
    </row>
    <row r="18" spans="1:7" ht="23.25" x14ac:dyDescent="0.35">
      <c r="A18" s="325">
        <v>1</v>
      </c>
      <c r="B18" s="326" t="s">
        <v>82</v>
      </c>
      <c r="C18" s="40" t="s">
        <v>119</v>
      </c>
      <c r="D18" s="230"/>
    </row>
    <row r="19" spans="1:7" ht="23.25" x14ac:dyDescent="0.35">
      <c r="A19" s="327">
        <v>2</v>
      </c>
      <c r="B19" s="328" t="s">
        <v>83</v>
      </c>
      <c r="C19" s="41" t="s">
        <v>245</v>
      </c>
    </row>
    <row r="20" spans="1:7" ht="24" customHeight="1" x14ac:dyDescent="0.35">
      <c r="A20" s="336">
        <v>4</v>
      </c>
      <c r="B20" s="333" t="s">
        <v>115</v>
      </c>
      <c r="C20" s="41" t="s">
        <v>248</v>
      </c>
    </row>
    <row r="21" spans="1:7" ht="49.5" customHeight="1" thickBot="1" x14ac:dyDescent="0.55000000000000004">
      <c r="A21" s="337">
        <v>5</v>
      </c>
      <c r="B21" s="333" t="s">
        <v>84</v>
      </c>
      <c r="C21" s="42" t="s">
        <v>249</v>
      </c>
      <c r="F21" s="48" t="s">
        <v>117</v>
      </c>
      <c r="G21" s="47" t="s">
        <v>85</v>
      </c>
    </row>
    <row r="22" spans="1:7" ht="37.5" customHeight="1" x14ac:dyDescent="0.45">
      <c r="A22" s="340">
        <v>3</v>
      </c>
      <c r="B22" s="339" t="s">
        <v>116</v>
      </c>
      <c r="C22" s="342" t="s">
        <v>250</v>
      </c>
      <c r="D22" s="268"/>
      <c r="E22" s="119" t="s">
        <v>86</v>
      </c>
      <c r="F22" s="44" t="s">
        <v>258</v>
      </c>
      <c r="G22" s="369">
        <f>31690/30</f>
        <v>1056.3333333333333</v>
      </c>
    </row>
    <row r="23" spans="1:7" ht="41.25" x14ac:dyDescent="0.55000000000000004">
      <c r="A23" s="350">
        <v>6</v>
      </c>
      <c r="B23" s="343" t="s">
        <v>252</v>
      </c>
      <c r="C23" s="42" t="s">
        <v>251</v>
      </c>
      <c r="D23" s="268"/>
      <c r="E23" s="120"/>
      <c r="F23" s="46" t="s">
        <v>259</v>
      </c>
      <c r="G23" s="369">
        <f>47946.69/30</f>
        <v>1598.2230000000002</v>
      </c>
    </row>
    <row r="24" spans="1:7" ht="31.5" x14ac:dyDescent="0.5">
      <c r="A24" s="351"/>
      <c r="B24" s="344" t="s">
        <v>87</v>
      </c>
      <c r="C24" s="43" t="s">
        <v>120</v>
      </c>
      <c r="E24" s="120"/>
      <c r="F24" s="45" t="s">
        <v>260</v>
      </c>
      <c r="G24" s="369">
        <f>208463.85/30</f>
        <v>6948.7950000000001</v>
      </c>
    </row>
    <row r="25" spans="1:7" ht="26.25" x14ac:dyDescent="0.4">
      <c r="A25" s="351"/>
      <c r="B25" s="24" t="s">
        <v>106</v>
      </c>
      <c r="C25" s="345">
        <v>500</v>
      </c>
      <c r="E25" s="120"/>
      <c r="F25" s="370" t="s">
        <v>261</v>
      </c>
      <c r="G25" s="20"/>
    </row>
    <row r="26" spans="1:7" ht="28.5" x14ac:dyDescent="0.45">
      <c r="A26" s="351"/>
      <c r="B26" s="24" t="s">
        <v>107</v>
      </c>
      <c r="C26" s="345">
        <v>200</v>
      </c>
      <c r="E26" s="120"/>
      <c r="F26" s="371" t="s">
        <v>262</v>
      </c>
      <c r="G26" s="20"/>
    </row>
    <row r="27" spans="1:7" ht="34.5" thickBot="1" x14ac:dyDescent="0.55000000000000004">
      <c r="A27" s="351"/>
      <c r="B27" s="24" t="s">
        <v>108</v>
      </c>
      <c r="C27" s="346">
        <v>3000</v>
      </c>
      <c r="E27" s="121"/>
      <c r="F27" s="372" t="s">
        <v>263</v>
      </c>
      <c r="G27" s="20"/>
    </row>
    <row r="28" spans="1:7" ht="26.25" x14ac:dyDescent="0.4">
      <c r="A28" s="351"/>
      <c r="B28" s="24" t="s">
        <v>109</v>
      </c>
      <c r="C28" s="345">
        <v>500</v>
      </c>
      <c r="E28" s="122" t="s">
        <v>88</v>
      </c>
      <c r="F28" s="2"/>
    </row>
    <row r="29" spans="1:7" ht="31.5" x14ac:dyDescent="0.5">
      <c r="A29" s="351"/>
      <c r="B29" s="24" t="s">
        <v>110</v>
      </c>
      <c r="C29" s="345">
        <v>250</v>
      </c>
      <c r="E29" s="123"/>
      <c r="F29" s="370" t="s">
        <v>264</v>
      </c>
    </row>
    <row r="30" spans="1:7" ht="26.25" x14ac:dyDescent="0.4">
      <c r="A30" s="351"/>
      <c r="B30" s="24" t="s">
        <v>111</v>
      </c>
      <c r="C30" s="345">
        <v>3000</v>
      </c>
      <c r="E30" s="123"/>
      <c r="F30" s="51"/>
    </row>
    <row r="31" spans="1:7" ht="26.25" x14ac:dyDescent="0.4">
      <c r="A31" s="351"/>
      <c r="B31" s="24" t="s">
        <v>112</v>
      </c>
      <c r="C31" s="347">
        <v>240</v>
      </c>
      <c r="E31" s="123"/>
      <c r="F31" s="52"/>
    </row>
    <row r="32" spans="1:7" ht="31.5" x14ac:dyDescent="0.5">
      <c r="A32" s="350">
        <v>7</v>
      </c>
      <c r="B32" s="24" t="s">
        <v>113</v>
      </c>
      <c r="C32" s="348">
        <f>SUM(C25:C31)</f>
        <v>7690</v>
      </c>
      <c r="D32">
        <v>24000</v>
      </c>
      <c r="E32" s="123"/>
      <c r="F32" s="373" t="s">
        <v>265</v>
      </c>
    </row>
    <row r="33" spans="1:6" ht="26.25" x14ac:dyDescent="0.4">
      <c r="A33" s="350">
        <v>8</v>
      </c>
      <c r="B33" s="24" t="s">
        <v>114</v>
      </c>
      <c r="C33" s="349" t="s">
        <v>253</v>
      </c>
      <c r="E33" s="123"/>
      <c r="F33" s="49"/>
    </row>
    <row r="34" spans="1:6" ht="63.75" thickBot="1" x14ac:dyDescent="0.55000000000000004">
      <c r="A34" s="374">
        <v>9</v>
      </c>
      <c r="B34" s="334" t="s">
        <v>89</v>
      </c>
      <c r="C34" s="335">
        <f>B6-C14-10423.19-20846-8000-7690-24000</f>
        <v>89557.974500000011</v>
      </c>
      <c r="E34" s="124"/>
      <c r="F34" s="50"/>
    </row>
    <row r="35" spans="1:6" ht="32.25" customHeight="1" x14ac:dyDescent="0.45">
      <c r="B35" s="352" t="s">
        <v>254</v>
      </c>
      <c r="C35" s="354" t="s">
        <v>256</v>
      </c>
    </row>
    <row r="36" spans="1:6" ht="29.25" customHeight="1" x14ac:dyDescent="0.5">
      <c r="B36" s="353">
        <f>93808.73*0.16</f>
        <v>15009.3968</v>
      </c>
      <c r="C36" s="355">
        <f>C34*0.45</f>
        <v>40301.088525000006</v>
      </c>
    </row>
    <row r="37" spans="1:6" ht="31.5" x14ac:dyDescent="0.5">
      <c r="B37" s="356" t="s">
        <v>255</v>
      </c>
      <c r="C37" s="357">
        <f>C34-C36</f>
        <v>49256.885975000005</v>
      </c>
    </row>
    <row r="40" spans="1:6" ht="30.75" customHeight="1" x14ac:dyDescent="0.5">
      <c r="B40" s="358">
        <v>208463.85</v>
      </c>
      <c r="C40" s="358">
        <v>100</v>
      </c>
    </row>
    <row r="41" spans="1:6" ht="31.5" x14ac:dyDescent="0.5">
      <c r="B41" s="320">
        <v>49256.89</v>
      </c>
      <c r="C41" s="358">
        <f>B41*C40/B40</f>
        <v>23.628504414554371</v>
      </c>
    </row>
  </sheetData>
  <mergeCells count="8">
    <mergeCell ref="E22:E27"/>
    <mergeCell ref="E28:E34"/>
    <mergeCell ref="B4:C4"/>
    <mergeCell ref="B5:C5"/>
    <mergeCell ref="B6:C8"/>
    <mergeCell ref="B9:B11"/>
    <mergeCell ref="C9:C11"/>
    <mergeCell ref="B13:C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ESTANDARIZACION DE RECETAS</vt:lpstr>
      <vt:lpstr>Hoja1</vt:lpstr>
      <vt:lpstr>ESTANDARIZACION COMPLEMENTARIA</vt:lpstr>
      <vt:lpstr>ESTANDARIZACION</vt:lpstr>
      <vt:lpstr>COSTOS POTENCIALES</vt:lpstr>
      <vt:lpstr>ESTADO DE RESULTADO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ALEJANDRO CASILLAS MARTINEZ</dc:creator>
  <cp:lastModifiedBy>ANDRES ALEJANDRO CASILLAS MARTINEZ</cp:lastModifiedBy>
  <dcterms:created xsi:type="dcterms:W3CDTF">2022-04-28T23:45:35Z</dcterms:created>
  <dcterms:modified xsi:type="dcterms:W3CDTF">2023-11-13T18:13:48Z</dcterms:modified>
</cp:coreProperties>
</file>